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50" windowHeight="6800" activeTab="3"/>
  </bookViews>
  <sheets>
    <sheet name="CandidatosFilaDeEspera" sheetId="1" state="hidden" r:id="rId1"/>
    <sheet name="dados_01" sheetId="2" state="hidden" r:id="rId2"/>
    <sheet name="dados_02" sheetId="3" state="hidden" r:id="rId3"/>
    <sheet name="regional_01" sheetId="4" r:id="rId4"/>
    <sheet name="regional_02" sheetId="5" r:id="rId5"/>
    <sheet name="regional_03" sheetId="6" r:id="rId6"/>
    <sheet name="regional_04" sheetId="7" r:id="rId7"/>
    <sheet name="regional_05" sheetId="8" r:id="rId8"/>
    <sheet name="regional_06" sheetId="9" r:id="rId9"/>
    <sheet name="regional_07" sheetId="10" r:id="rId10"/>
    <sheet name="lista_id_2026" sheetId="11" state="hidden" r:id="rId11"/>
    <sheet name="Página2" sheetId="12" state="hidden" r:id="rId12"/>
    <sheet name="lista_id" sheetId="13" state="hidden" r:id="rId13"/>
    <sheet name="link" sheetId="14" state="hidden" r:id="rId14"/>
  </sheets>
  <definedNames>
    <definedName name="_xlnm._FilterDatabase" localSheetId="0" hidden="1">CandidatosFilaDeEspera!$A$1:$AC$1098</definedName>
    <definedName name="_xlnm._FilterDatabase" localSheetId="2" hidden="1">dados_02!$A$1:$Z$1000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<sst xmlns="http://schemas.openxmlformats.org/spreadsheetml/2006/main" count="2583" uniqueCount="822">
  <si>
    <t>ID</t>
  </si>
  <si>
    <t>Regional</t>
  </si>
  <si>
    <t>Unidade Escolar</t>
  </si>
  <si>
    <t>Ano Escolar</t>
  </si>
  <si>
    <t>Turno</t>
  </si>
  <si>
    <t>Fila</t>
  </si>
  <si>
    <t>Posição</t>
  </si>
  <si>
    <t>Protocolo</t>
  </si>
  <si>
    <t>Cadastro</t>
  </si>
  <si>
    <t>Nome</t>
  </si>
  <si>
    <t>CPF</t>
  </si>
  <si>
    <t>Data de Nascimento</t>
  </si>
  <si>
    <t>Documentos</t>
  </si>
  <si>
    <t>Quantidade de contatos efetuados</t>
  </si>
  <si>
    <t>DATA DA SOLICITAÇÃO</t>
  </si>
  <si>
    <t>ESTUDANTE</t>
  </si>
  <si>
    <t>DATA DE NASCIMENTO</t>
  </si>
  <si>
    <t>ANO</t>
  </si>
  <si>
    <t>ESCOLA PRETENDIDA 1</t>
  </si>
  <si>
    <t>CRECHES MUNICIPAIS 2026</t>
  </si>
  <si>
    <t>CAPACIDADE, MATRICULADOS E VAGAS - REGIONAL 1</t>
  </si>
  <si>
    <t>Informação atualizada em : 01/06/2026</t>
  </si>
  <si>
    <t>INEP</t>
  </si>
  <si>
    <t>ESCOLA</t>
  </si>
  <si>
    <t>CAPACIDADES / MATRICULADOS / VAGAS</t>
  </si>
  <si>
    <t>Educação Infantil</t>
  </si>
  <si>
    <t>CRECHE</t>
  </si>
  <si>
    <t>CEMEI</t>
  </si>
  <si>
    <t>PRÉ-ESCOLA</t>
  </si>
  <si>
    <t>TOTAL INFANTIL</t>
  </si>
  <si>
    <t>INFANTIL 1</t>
  </si>
  <si>
    <t>INFANTIL 2</t>
  </si>
  <si>
    <t>INFANTIL 3</t>
  </si>
  <si>
    <t>Subtotal</t>
  </si>
  <si>
    <t>INFANTIL 4</t>
  </si>
  <si>
    <t>INFANTIL 5</t>
  </si>
  <si>
    <t>Integral</t>
  </si>
  <si>
    <t>M</t>
  </si>
  <si>
    <t>T</t>
  </si>
  <si>
    <t>I + M + T</t>
  </si>
  <si>
    <t>CEMEI PROFª MARIA JOSE DA SILVA</t>
  </si>
  <si>
    <t>CAPACIDADE</t>
  </si>
  <si>
    <t>MATRICULADOS</t>
  </si>
  <si>
    <t>VAGAS</t>
  </si>
  <si>
    <t>CEMEI SANTO AMARO</t>
  </si>
  <si>
    <t>CRECHE CIRANDA CIRANDINHA</t>
  </si>
  <si>
    <t>CRECHE PROFESSORA MARIA RITA LINS MARTINS</t>
  </si>
  <si>
    <t>CAPACIDADE, MATRICULADOS E VAGAS - REGIONAL 2</t>
  </si>
  <si>
    <t>CEMEI LUIZ FERNANDO DE CARVALHO ARCOVERDE</t>
  </si>
  <si>
    <t>CRECHE MUNICIPAL ALAYDE MARIA DA CONCEICAO</t>
  </si>
  <si>
    <t>CRECHE PROFESSORA LEDA MARIA QUEIROZ DO REGO BARROS</t>
  </si>
  <si>
    <t>CAPACIDADE, MATRICULADOS E VAGAS - REGIONAL 3</t>
  </si>
  <si>
    <t>CEMEI EDVALDO SEVERIANO DE OLIVEIRA</t>
  </si>
  <si>
    <t>CRECHE MUNDO ENCANTADO</t>
  </si>
  <si>
    <t>CAPACIDADE, MATRICULADOS E VAGAS - REGIONAL 4</t>
  </si>
  <si>
    <t>CEMEI MARCOS FREIRE</t>
  </si>
  <si>
    <t>CEMEI PROFª MARINALVA MARIA VICENTE</t>
  </si>
  <si>
    <t>CAPACIDADE, MATRICULADOS E VAGAS - REGIONAL 5</t>
  </si>
  <si>
    <t>CEMEI PROFª LINDOMAR DOMINGOS DA SILVA ANJOS</t>
  </si>
  <si>
    <t>CEMEI PROFª MARIA DE FATIMA DA SILVA</t>
  </si>
  <si>
    <t>CEMEI PROFª MARIA LUZIA RIO LIMA</t>
  </si>
  <si>
    <t>CEMEI SILVIA MARIA DE OLIVEIRA</t>
  </si>
  <si>
    <t>CAPACIDADE, MATRICULADOS E VAGAS - REGIONAL 6</t>
  </si>
  <si>
    <t>CEMEI PROFª LIGIA ARAUJO DE OLIVEIRA</t>
  </si>
  <si>
    <t>CEMEI PROFª MARLUCIA EVANGELISTA DE SOUZA</t>
  </si>
  <si>
    <t>CEMEI PROFª RAKELLY NOGUEIRA DO NASCIMENTO</t>
  </si>
  <si>
    <t>CEMEI PROFª SIMONE PATRICIA FERREIRA DA SILVA</t>
  </si>
  <si>
    <t>CRECHE MERCIA DE ALBUQUERQUE</t>
  </si>
  <si>
    <t>CAPACIDADE, MATRICULADOS E VAGAS - REGIONAL 7</t>
  </si>
  <si>
    <t>CEMEI DR PAULO MENDES</t>
  </si>
  <si>
    <t>CEMEI ELIEL EUSTAQUIO DA SILVA</t>
  </si>
  <si>
    <t>CEMEI JOAO FERNANDES VIEIRA</t>
  </si>
  <si>
    <t>CEMEI PROFª CIBELE DE ANDRADE MENDES DE AZEVEDO</t>
  </si>
  <si>
    <t>CRECHE PROFª SILVIA CRISTINA BOTELHO</t>
  </si>
  <si>
    <t>QTD</t>
  </si>
  <si>
    <t>REGIONAL</t>
  </si>
  <si>
    <t>URL</t>
  </si>
  <si>
    <t>NOME_PONTO_ID</t>
  </si>
  <si>
    <t>LOCAL</t>
  </si>
  <si>
    <t>TURNO</t>
  </si>
  <si>
    <t>REGIONAL 1</t>
  </si>
  <si>
    <t>CEMEI PROFESSORA MARIA JOSE DA SILVA</t>
  </si>
  <si>
    <t>1B3OcqL2i8XrU5mKssd98vCYfSAwp8OHFLRh44x3ZgWU</t>
  </si>
  <si>
    <t>https://docs.google.com/spreadsheets/d/1B3OcqL2i8XrU5mKssd98vCYfSAwp8OHFLRh44x3ZgWU/edit</t>
  </si>
  <si>
    <t>URBANA</t>
  </si>
  <si>
    <t>INTEGRAL</t>
  </si>
  <si>
    <t>1X8w1UYpig3Vfj0717fmV8MFUOd73ViJA029X_QCIT2Y</t>
  </si>
  <si>
    <t>https://docs.google.com/spreadsheets/d/1X8w1UYpig3Vfj0717fmV8MFUOd73ViJA029X_QCIT2Y/edit</t>
  </si>
  <si>
    <t>REGULAR</t>
  </si>
  <si>
    <t>COLEGIO MUNICIPAL HUMBERTO BARRADAS</t>
  </si>
  <si>
    <t>1bYiD3kJ38elsxhhEC6l-DBTIQJ_cApH_R9BNwt0MWeA</t>
  </si>
  <si>
    <t>https://docs.google.com/spreadsheets/d/1bYiD3kJ38elsxhhEC6l-DBTIQJ_cApH_R9BNwt0MWeA/edit</t>
  </si>
  <si>
    <t>1C69tHEi4jt9vpdrPKdqjcNWk4q7dVdCWcym8kJcnDCo</t>
  </si>
  <si>
    <t>https://docs.google.com/spreadsheets/d/1C69tHEi4jt9vpdrPKdqjcNWk4q7dVdCWcym8kJcnDCo/edit</t>
  </si>
  <si>
    <t>CRECHE MUNICIPAL PROFESSORA MARIA RITA LINS MARTINS</t>
  </si>
  <si>
    <t>1YrTBQjU_kAPbOD1NEXHpOFXTK6CoZyiQVnCeWzVc6jE</t>
  </si>
  <si>
    <t>https://docs.google.com/spreadsheets/d/1YrTBQjU_kAPbOD1NEXHpOFXTK6CoZyiQVnCeWzVc6jE/edit</t>
  </si>
  <si>
    <t>ESCOLA MUNICIPAL ALICE VILAR DE AQUINO</t>
  </si>
  <si>
    <t>1bZhfPgqzhqHKhjlbb7-olYgEaLvnUOZKluxZZDJxGW4</t>
  </si>
  <si>
    <t>https://docs.google.com/spreadsheets/d/1bZhfPgqzhqHKhjlbb7-olYgEaLvnUOZKluxZZDJxGW4/edit</t>
  </si>
  <si>
    <t>ESCOLA MUNICIPAL ANIBAL VAREJAO</t>
  </si>
  <si>
    <t>1WUWJ14hayEglgZHzot5Fnc6Kwv20TPdUOcV0KYB3Lso</t>
  </si>
  <si>
    <t>https://docs.google.com/spreadsheets/d/1WUWJ14hayEglgZHzot5Fnc6Kwv20TPdUOcV0KYB3Lso/edit</t>
  </si>
  <si>
    <t>ESCOLA MUNICIPAL ARNALDO PEIXOTO</t>
  </si>
  <si>
    <t>1OAdf9I8lmQRU0QwE_PMqqmOH4XR2Th1jilQedWQFrqQ</t>
  </si>
  <si>
    <t>https://docs.google.com/spreadsheets/d/1OAdf9I8lmQRU0QwE_PMqqmOH4XR2Th1jilQedWQFrqQ/edit</t>
  </si>
  <si>
    <t>RURAL</t>
  </si>
  <si>
    <t>ESCOLA MUNICIPAL BENJAMIN CONSTANT</t>
  </si>
  <si>
    <t>1eTXYw3TkHKp5DvadL-DL_uS2unwn8OF92Glsa4xdIGk</t>
  </si>
  <si>
    <t>https://docs.google.com/spreadsheets/d/1eTXYw3TkHKp5DvadL-DL_uS2unwn8OF92Glsa4xdIGk/edit</t>
  </si>
  <si>
    <t>ESCOLA MUNICIPAL DOM BOSCO</t>
  </si>
  <si>
    <t>1TO0_PxndPYimjwQDlOLGtAAS6dlS2p2dHUPN2jLY_4Q</t>
  </si>
  <si>
    <t>https://docs.google.com/spreadsheets/d/1TO0_PxndPYimjwQDlOLGtAAS6dlS2p2dHUPN2jLY_4Q/edit</t>
  </si>
  <si>
    <t>ESCOLA MUNICIPAL DR JOSE LEOPOLDINO</t>
  </si>
  <si>
    <t>1eXldVBQ-idsoakNjNjPFkAbEeNDMAKNNyFeTIsfheZ8</t>
  </si>
  <si>
    <t>https://docs.google.com/spreadsheets/d/1eXldVBQ-idsoakNjNjPFkAbEeNDMAKNNyFeTIsfheZ8/edit</t>
  </si>
  <si>
    <t>ESCOLA MUNICIPAL DR LUIZ GONZAGA MARANHAO</t>
  </si>
  <si>
    <t>1IFFoxrNJDsvyD9RnS3a01eWXu1tpI9SLZ6ksXMtZD_8</t>
  </si>
  <si>
    <t>https://docs.google.com/spreadsheets/d/1IFFoxrNJDsvyD9RnS3a01eWXu1tpI9SLZ6ksXMtZD_8/edit</t>
  </si>
  <si>
    <t>ESCOLA MUNICIPAL DR MAURICIO MARTINS DE ALBUQUERQUE</t>
  </si>
  <si>
    <t>1kc7WT64qa_CJ1p0l9xpVYY1hPUEx44IfbR_B5MvNfNs</t>
  </si>
  <si>
    <t>https://docs.google.com/spreadsheets/d/1kc7WT64qa_CJ1p0l9xpVYY1hPUEx44IfbR_B5MvNfNs/edit</t>
  </si>
  <si>
    <t>ESCOLA MUNICIPAL JOAO BOSCO DE SENA</t>
  </si>
  <si>
    <t>1kzmhyLgDnEW2X2PcWbv5jN0DLbiaMwG2t9Vg6tgLLvU</t>
  </si>
  <si>
    <t>https://docs.google.com/spreadsheets/d/1kzmhyLgDnEW2X2PcWbv5jN0DLbiaMwG2t9Vg6tgLLvU/edit</t>
  </si>
  <si>
    <t>ESCOLA MUNICIPAL JOSE CARNEIRO</t>
  </si>
  <si>
    <t>1oXT4J9ykZu37Y5aI1Mu-E56TQFvJxNmuvZkpgSR-UJ8</t>
  </si>
  <si>
    <t>https://docs.google.com/spreadsheets/d/1oXT4J9ykZu37Y5aI1Mu-E56TQFvJxNmuvZkpgSR-UJ8/edit</t>
  </si>
  <si>
    <t>ESCOLA MUNICIPAL JUDITH FIGUEIROA</t>
  </si>
  <si>
    <t>1r5HfDgfvxRVtffWlqJo_klSgF_pTMyskcIysoKpbNI0</t>
  </si>
  <si>
    <t>https://docs.google.com/spreadsheets/d/1r5HfDgfvxRVtffWlqJo_klSgF_pTMyskcIysoKpbNI0/edit</t>
  </si>
  <si>
    <t>ESCOLA MUNICIPAL LEUZA PEREIRA</t>
  </si>
  <si>
    <t>1tDLaR5xj1YCPSi-PdcnRHSERynNXdMT1MVTVBmCOS5g</t>
  </si>
  <si>
    <t>https://docs.google.com/spreadsheets/d/1tDLaR5xj1YCPSi-PdcnRHSERynNXdMT1MVTVBmCOS5g/edit</t>
  </si>
  <si>
    <t>ESCOLA MUNICIPAL LILIOSA RAMOS</t>
  </si>
  <si>
    <t>1zE08cg4vk5i6ib4UBCQiy6Fkyj3ZkAvyrQ_nFVnU4GU</t>
  </si>
  <si>
    <t>https://docs.google.com/spreadsheets/d/1zE08cg4vk5i6ib4UBCQiy6Fkyj3ZkAvyrQ_nFVnU4GU/edit</t>
  </si>
  <si>
    <t>ESCOLA MUNICIPAL MARECHAL CASTELO BRANCO</t>
  </si>
  <si>
    <t>10Krmjow5WHNiF2o1k61-B2aPOY0HxRaz_LYgmUHYvKU</t>
  </si>
  <si>
    <t>https://docs.google.com/spreadsheets/d/10Krmjow5WHNiF2o1k61-B2aPOY0HxRaz_LYgmUHYvKU/edit</t>
  </si>
  <si>
    <t>ESCOLA MUNICIPAL MARIA DE LOURDES RAMOS</t>
  </si>
  <si>
    <t>14ObKm5mzjIjElqPjQvZGM5eefOYA7YLzD5Sa5sBSg98</t>
  </si>
  <si>
    <t>https://docs.google.com/spreadsheets/d/14ObKm5mzjIjElqPjQvZGM5eefOYA7YLzD5Sa5sBSg98/edit</t>
  </si>
  <si>
    <t>ESCOLA MUNICIPAL MEDALHA MILAGROSA</t>
  </si>
  <si>
    <t>16pU2X4xPkYNrMtF-vtzclTEabJig6tCIbXUoLjxPHwE</t>
  </si>
  <si>
    <t>https://docs.google.com/spreadsheets/d/16pU2X4xPkYNrMtF-vtzclTEabJig6tCIbXUoLjxPHwE/edit</t>
  </si>
  <si>
    <t>ESCOLA MUNICIPAL NOVA VISAO</t>
  </si>
  <si>
    <t>1GQTR8k-xw-H6TdQ1cfc0APXSh6cPoZhoDFSWu9VdGyo</t>
  </si>
  <si>
    <t>https://docs.google.com/spreadsheets/d/1GQTR8k-xw-H6TdQ1cfc0APXSh6cPoZhoDFSWu9VdGyo/edit</t>
  </si>
  <si>
    <t>ESCOLA MUNICIPAL PADRE AURINO CARACCIOLO</t>
  </si>
  <si>
    <t>1JGHDcr0qbxa50pytv8M_-EJ9_AhploU_gy7FALaZm8s</t>
  </si>
  <si>
    <t>https://docs.google.com/spreadsheets/d/1JGHDcr0qbxa50pytv8M_-EJ9_AhploU_gy7FALaZm8s/edit</t>
  </si>
  <si>
    <t>ESCOLA MUNICIPAL PASTOR JOAO ADALGISO</t>
  </si>
  <si>
    <t>1MMkJj-Z8OKgeCSBmKJ7ReoIXD0VKw7pKAOzSmw-QLmo</t>
  </si>
  <si>
    <t>https://docs.google.com/spreadsheets/d/1MMkJj-Z8OKgeCSBmKJ7ReoIXD0VKw7pKAOzSmw-QLmo/edit</t>
  </si>
  <si>
    <t>ESCOLA MUNICIPAL POETA MANUEL BANDEIRA</t>
  </si>
  <si>
    <t>1O2DExwtvAprujsGy1FDdIWEA8TxrM-2vvwr3Gx3AmmQ</t>
  </si>
  <si>
    <t>https://docs.google.com/spreadsheets/d/1O2DExwtvAprujsGy1FDdIWEA8TxrM-2vvwr3Gx3AmmQ/edit</t>
  </si>
  <si>
    <t>ESCOLA MUNICIPAL POETA VINICIUS DE MORAIS</t>
  </si>
  <si>
    <t>1OJqv0V8KANpk--qDtzwOT29wh5CeyqC9LePPkk-sEm4</t>
  </si>
  <si>
    <t>https://docs.google.com/spreadsheets/d/1OJqv0V8KANpk--qDtzwOT29wh5CeyqC9LePPkk-sEm4/edit</t>
  </si>
  <si>
    <t>ESCOLA MUNICIPAL PROFESSOR AUGUSTO PEREIRA JUNIOR</t>
  </si>
  <si>
    <t>1Q32Im_-SgbkgYkiscVnEXcjpyq6ixl-0ehfu9dDDNPY</t>
  </si>
  <si>
    <t>https://docs.google.com/spreadsheets/d/1Q32Im_-SgbkgYkiscVnEXcjpyq6ixl-0ehfu9dDDNPY/edit</t>
  </si>
  <si>
    <t>ESCOLA MUNICIPAL PROFESSOR EDWARD BERNARDINO</t>
  </si>
  <si>
    <t>1T-_OfljTZP-hSrWNXe95lYqA8rYntPctfg9OtkeFMyM</t>
  </si>
  <si>
    <t>https://docs.google.com/spreadsheets/d/1T-_OfljTZP-hSrWNXe95lYqA8rYntPctfg9OtkeFMyM/edit</t>
  </si>
  <si>
    <t>ESCOLA MUNICIPAL PROFESSOR ROBERTO INACIO DA SILVA</t>
  </si>
  <si>
    <t>1_I0Ksdr-sv5CSLi2-kyWW5juwwF5_i1ux9tx58I988A</t>
  </si>
  <si>
    <t>https://docs.google.com/spreadsheets/d/1_I0Ksdr-sv5CSLi2-kyWW5juwwF5_i1ux9tx58I988A/edit</t>
  </si>
  <si>
    <t>ESCOLA MUNICIPAL RURAL MARIA ANGELA DE ALBUQUERQUE MARANHAO</t>
  </si>
  <si>
    <t>1i4y3BeLWXrC59JEN675QzVjmTrPXc3VP027lrJ-D6dQ</t>
  </si>
  <si>
    <t>https://docs.google.com/spreadsheets/d/1i4y3BeLWXrC59JEN675QzVjmTrPXc3VP027lrJ-D6dQ/edit</t>
  </si>
  <si>
    <t>ESCOLA MUNICIPAL RURAL PAULO FREIRE</t>
  </si>
  <si>
    <t>1m8msSdmwt6dTBs7qilT3wuZBElGvdYUe4LAKqZLxZtw</t>
  </si>
  <si>
    <t>https://docs.google.com/spreadsheets/d/1m8msSdmwt6dTBs7qilT3wuZBElGvdYUe4LAKqZLxZtw/edit</t>
  </si>
  <si>
    <t>ESCOLA MUNICIPAL RURAL PROFESSORA ELIZABETH MENEZES</t>
  </si>
  <si>
    <t>1zZWCfu6IRZGl2lQtPKK0oHWq5eBsNpxTawbob_TGSoo</t>
  </si>
  <si>
    <t>https://docs.google.com/spreadsheets/d/1zZWCfu6IRZGl2lQtPKK0oHWq5eBsNpxTawbob_TGSoo/edit</t>
  </si>
  <si>
    <t>ESCOLA MUNICIPAL SANTA CATHERINE LABOURE</t>
  </si>
  <si>
    <t>1zrfN9zMvtKGXowDvgLa8sBwhDyuCBrMHJnsqmJSi9YQ</t>
  </si>
  <si>
    <t>https://docs.google.com/spreadsheets/d/1zrfN9zMvtKGXowDvgLa8sBwhDyuCBrMHJnsqmJSi9YQ/edit</t>
  </si>
  <si>
    <t>ESCOLA MUNICIPAL SAO SEBASTIAO</t>
  </si>
  <si>
    <t>109x-pf-ouyTSvhegdfsqWY8twftS3OP5XRo7277sAZ8</t>
  </si>
  <si>
    <t>https://docs.google.com/spreadsheets/d/109x-pf-ouyTSvhegdfsqWY8twftS3OP5XRo7277sAZ8/edit</t>
  </si>
  <si>
    <t>REGIONAL 2</t>
  </si>
  <si>
    <t>1-IX4vt-USfwvZDVisHj5WEsmyXPxfQXF1wYBsp0Ni9A</t>
  </si>
  <si>
    <t>https://docs.google.com/spreadsheets/d/1-IX4vt-USfwvZDVisHj5WEsmyXPxfQXF1wYBsp0Ni9A/edit</t>
  </si>
  <si>
    <t>CENTRO EDUCACIONAL CRISTO REDENTOR</t>
  </si>
  <si>
    <t>10rh43a3XFZokMANB7hNiwdPhbJ-8dB3txWJA3kPUsAk</t>
  </si>
  <si>
    <t>https://docs.google.com/spreadsheets/d/10rh43a3XFZokMANB7hNiwdPhbJ-8dB3txWJA3kPUsAk/edit</t>
  </si>
  <si>
    <t>CRECHE ALAYDE MARIA DA CONCEICAO</t>
  </si>
  <si>
    <t>17d3ZE-h8pvXkQTku-2RI2UzfVHACJSOO6e1AnTtapgY</t>
  </si>
  <si>
    <t>https://docs.google.com/spreadsheets/d/17d3ZE-h8pvXkQTku-2RI2UzfVHACJSOO6e1AnTtapgY/edit</t>
  </si>
  <si>
    <t>CRECHE LEDA MARIA QUEIROZ DO REGO BARROS</t>
  </si>
  <si>
    <t>13B_w21dhitIxsj8pYqYKXmq1b6QkNRx3ddAcnKlJFtM</t>
  </si>
  <si>
    <t>https://docs.google.com/spreadsheets/d/13B_w21dhitIxsj8pYqYKXmq1b6QkNRx3ddAcnKlJFtM/edit</t>
  </si>
  <si>
    <t>ESCOLA MUNICIPAL ALAIDE PEDROSA</t>
  </si>
  <si>
    <t>12V58P2cE5Pji_SQr8tbStBebzVi5HBlDWNh7N3a_hR4</t>
  </si>
  <si>
    <t>https://docs.google.com/spreadsheets/d/12V58P2cE5Pji_SQr8tbStBebzVi5HBlDWNh7N3a_hR4/edit</t>
  </si>
  <si>
    <t>ESCOLA MUNICIPAL ALBENICE MARIA DA SILVA</t>
  </si>
  <si>
    <t>1INSuUsv55vxK9McV-Qyl5RoHTH4_m590UAMFKNAET0o</t>
  </si>
  <si>
    <t>https://docs.google.com/spreadsheets/d/1INSuUsv55vxK9McV-Qyl5RoHTH4_m590UAMFKNAET0o/edit</t>
  </si>
  <si>
    <t>ESCOLA MUNICIPAL ALBERTO SANTOS DUMONT</t>
  </si>
  <si>
    <t>1RgWjvMTM9rrhJbqMZr8GxtRZMAZrlZPwgjl9aXES-Hw</t>
  </si>
  <si>
    <t>https://docs.google.com/spreadsheets/d/1RgWjvMTM9rrhJbqMZr8GxtRZMAZrlZPwgjl9aXES-Hw/edit</t>
  </si>
  <si>
    <t>ESCOLA MUNICIPAL ANTONIO VIEIRA DE MELO</t>
  </si>
  <si>
    <t>19YCpTt3Ha7YVjFC2p0i54dwDCCoET1fKH9UgR9t5WHc</t>
  </si>
  <si>
    <t>https://docs.google.com/spreadsheets/d/19YCpTt3Ha7YVjFC2p0i54dwDCCoET1fKH9UgR9t5WHc/edit</t>
  </si>
  <si>
    <t>ESCOLA MUNICIPAL BELEM DE JUDA</t>
  </si>
  <si>
    <t>147DhBLwEV8Y1GUtyqTYRqAXJ4s6QKwkzHB2BrIQyWNM</t>
  </si>
  <si>
    <t>https://docs.google.com/spreadsheets/d/147DhBLwEV8Y1GUtyqTYRqAXJ4s6QKwkzHB2BrIQyWNM/edit</t>
  </si>
  <si>
    <t>ESCOLA MUNICIPAL DAVINO TENORIO</t>
  </si>
  <si>
    <t>1QpXRxwtWtEpgEs6HHqL44GaKnuaCVl3wHg1cBgqnxro</t>
  </si>
  <si>
    <t>https://docs.google.com/spreadsheets/d/1QpXRxwtWtEpgEs6HHqL44GaKnuaCVl3wHg1cBgqnxro/edit</t>
  </si>
  <si>
    <t>ESCOLA MUNICIPAL DEMERY CARNEIRO</t>
  </si>
  <si>
    <t>1XJRAavMYMsnxFnYxr7VIDVyg9jGe_SSiF5OtP7wn9Ys</t>
  </si>
  <si>
    <t>https://docs.google.com/spreadsheets/d/1XJRAavMYMsnxFnYxr7VIDVyg9jGe_SSiF5OtP7wn9Ys/edit</t>
  </si>
  <si>
    <t>ESCOLA MUNICIPAL DOM PEDRO DE ALCANTARA</t>
  </si>
  <si>
    <t>1_snRNZeBHkdIhomzYKNhCGr46EgMfpGSqpG5oe_yWUw</t>
  </si>
  <si>
    <t>https://docs.google.com/spreadsheets/d/1_snRNZeBHkdIhomzYKNhCGr46EgMfpGSqpG5oe_yWUw/edit</t>
  </si>
  <si>
    <t>ESCOLA MUNICIPAL DR LUIZ REGUEIRA</t>
  </si>
  <si>
    <t>1jCIdSaOd6MOpjGtPdA3A34SyGjCTzTEgSaeyg-SLNYk</t>
  </si>
  <si>
    <t>https://docs.google.com/spreadsheets/d/1jCIdSaOd6MOpjGtPdA3A34SyGjCTzTEgSaeyg-SLNYk/edit</t>
  </si>
  <si>
    <t>ESCOLA MUNICIPAL DUQUE DE CAXIAS</t>
  </si>
  <si>
    <t>1pyQH3mhSYibG5XRe3m-5Zh-ZlmHW72-MZjkZlfLZdQU</t>
  </si>
  <si>
    <t>https://docs.google.com/spreadsheets/d/1pyQH3mhSYibG5XRe3m-5Zh-ZlmHW72-MZjkZlfLZdQU/edit</t>
  </si>
  <si>
    <t>ESCOLA MUNICIPAL ESTHER CAMPELO</t>
  </si>
  <si>
    <t>1tSY3Z5AM-vtACQuq1jB4g7H_VW4YXx8Ysx4pj9VKEGE</t>
  </si>
  <si>
    <t>https://docs.google.com/spreadsheets/d/1tSY3Z5AM-vtACQuq1jB4g7H_VW4YXx8Ysx4pj9VKEGE/edit</t>
  </si>
  <si>
    <t>ESCOLA MUNICIPAL GILDO VERISSIMO</t>
  </si>
  <si>
    <t>1yiiHOBm25EHUdGF0_uLpl2OB_sBca07jpsxkCjsVc3c</t>
  </si>
  <si>
    <t>https://docs.google.com/spreadsheets/d/1yiiHOBm25EHUdGF0_uLpl2OB_sBca07jpsxkCjsVc3c/edit</t>
  </si>
  <si>
    <t>ESCOLA MUNICIPAL JOSE CARLOS RIBEIRO</t>
  </si>
  <si>
    <t>1-baMM8Hs0U5i0UVgP6ekG5iGhUOU9MGWbq9-PA8m31A</t>
  </si>
  <si>
    <t>https://docs.google.com/spreadsheets/d/1-baMM8Hs0U5i0UVgP6ekG5iGhUOU9MGWbq9-PA8m31A/edit</t>
  </si>
  <si>
    <t>ESCOLA MUNICIPAL JOSE CLAUDINO DA SILVA</t>
  </si>
  <si>
    <t>1AmFWWIK05Qtw_-IrRKD8GJ95PGaKo_HN5ybMiQw2-VE</t>
  </si>
  <si>
    <t>https://docs.google.com/spreadsheets/d/1AmFWWIK05Qtw_-IrRKD8GJ95PGaKo_HN5ybMiQw2-VE/edit</t>
  </si>
  <si>
    <t>ESCOLA MUNICIPAL MARIA AUGUSTA DUTRA</t>
  </si>
  <si>
    <t>1I4iwc1gJxSWt6m2PAlR3lDGTeBqgh4qJa8erDg3QD2o</t>
  </si>
  <si>
    <t>https://docs.google.com/spreadsheets/d/1I4iwc1gJxSWt6m2PAlR3lDGTeBqgh4qJa8erDg3QD2o/edit</t>
  </si>
  <si>
    <t>ESCOLA MUNICIPAL NOSSA SENHORA DA CONCEIÇÃO</t>
  </si>
  <si>
    <t>1LFGgoESGgWEM2kqXhZnNHLDYJu4m1jYhzl0-e4odB2c</t>
  </si>
  <si>
    <t>https://docs.google.com/spreadsheets/d/1LFGgoESGgWEM2kqXhZnNHLDYJu4m1jYhzl0-e4odB2c/edit</t>
  </si>
  <si>
    <t>ESCOLA MUNICIPAL ODETE GOMES DE MORAIS</t>
  </si>
  <si>
    <t>11JcJP1Z5o2G-mOTuZ31oISJ8w9weXayJsE3KlDvo1jQ</t>
  </si>
  <si>
    <t>https://docs.google.com/spreadsheets/d/11JcJP1Z5o2G-mOTuZ31oISJ8w9weXayJsE3KlDvo1jQ/edit</t>
  </si>
  <si>
    <t>ESCOLA MUNICIPAL ODETTE PEREIRA CARNEIRO</t>
  </si>
  <si>
    <t>1B4k0g41uKJBuT8ecXx66Yew958T3tr7wAhIwSFOkpjo</t>
  </si>
  <si>
    <t>https://docs.google.com/spreadsheets/d/1B4k0g41uKJBuT8ecXx66Yew958T3tr7wAhIwSFOkpjo/edit</t>
  </si>
  <si>
    <t>ESCOLA MUNICIPAL OLAVO BILAC</t>
  </si>
  <si>
    <t>1PQ6sCM7Acuy-v9EgV-VNafYcJ78d9K0MYfD3PmqHSr0</t>
  </si>
  <si>
    <t>https://docs.google.com/spreadsheets/d/1PQ6sCM7Acuy-v9EgV-VNafYcJ78d9K0MYfD3PmqHSr0/edit</t>
  </si>
  <si>
    <t>ESCOLA MUNICIPAL PEDRO ALVARES CABRAL</t>
  </si>
  <si>
    <t>1PKuBb0TMzMjh5RwI6asYVi4e-x-2GSX0BtAOc-Oc6eg</t>
  </si>
  <si>
    <t>https://docs.google.com/spreadsheets/d/1PKuBb0TMzMjh5RwI6asYVi4e-x-2GSX0BtAOc-Oc6eg/edit</t>
  </si>
  <si>
    <t>ESCOLA MUNICIPAL VEREADOR OTAVIO MIRANDA</t>
  </si>
  <si>
    <t>1_hooQAzj6Mb0UucgIicmNKBlhzEBxnl97AO0S1b7K7s</t>
  </si>
  <si>
    <t>https://docs.google.com/spreadsheets/d/1_hooQAzj6Mb0UucgIicmNKBlhzEBxnl97AO0S1b7K7s/edit</t>
  </si>
  <si>
    <t>REGIONAL 3</t>
  </si>
  <si>
    <t>1HBknGIBVAJV8_QDHLvP4zoxGn0Jf4m3X1ONLglV_hKI</t>
  </si>
  <si>
    <t>https://docs.google.com/spreadsheets/d/1HBknGIBVAJV8_QDHLvP4zoxGn0Jf4m3X1ONLglV_hKI/edit</t>
  </si>
  <si>
    <t>10gXEYduj1A-hyX0fq6YXuycIOqife1JJ0lI5GwuBg3g</t>
  </si>
  <si>
    <t>https://docs.google.com/spreadsheets/d/10gXEYduj1A-hyX0fq6YXuycIOqife1JJ0lI5GwuBg3g/edit</t>
  </si>
  <si>
    <t>ESCOLA MUNICIPAL CECILIA BRANDAO</t>
  </si>
  <si>
    <t>1s8hDp8qmGImwTZs8ankOG2573Yk3tparwSinghHM2WE</t>
  </si>
  <si>
    <t>https://docs.google.com/spreadsheets/d/1s8hDp8qmGImwTZs8ankOG2573Yk3tparwSinghHM2WE/edit</t>
  </si>
  <si>
    <t>ESCOLA MUNICIPAL IRACI RODOVALHO</t>
  </si>
  <si>
    <t>1sFGy0CVHt0Nq9Zjr2AjQlcT9w0UBnWkH2nxE5LTYo-k</t>
  </si>
  <si>
    <t>https://docs.google.com/spreadsheets/d/1sFGy0CVHt0Nq9Zjr2AjQlcT9w0UBnWkH2nxE5LTYo-k/edit</t>
  </si>
  <si>
    <t>ESCOLA MUNICIPAL JOSEFA BATISTA DA SILVA</t>
  </si>
  <si>
    <t>1cu4pnDk_lXWLtVAayINcBat2yP00gfojVCzzH3BRybA</t>
  </si>
  <si>
    <t>https://docs.google.com/spreadsheets/d/1cu4pnDk_lXWLtVAayINcBat2yP00gfojVCzzH3BRybA/edit</t>
  </si>
  <si>
    <t>ESCOLA MUNICIPAL LENITA RIBEIRO DE CASTRO</t>
  </si>
  <si>
    <t>1WbmBXr3OBws4YfvvRKvwCcARPpvNkq1LA6z_INsD9pI</t>
  </si>
  <si>
    <t>https://docs.google.com/spreadsheets/d/1WbmBXr3OBws4YfvvRKvwCcARPpvNkq1LA6z_INsD9pI/edit</t>
  </si>
  <si>
    <t>ESCOLA MUNICIPAL NAZETE VIEIRA DE LIMA</t>
  </si>
  <si>
    <t>1JlVTgYiwj5RSCzBUV3Wogqztj5nIK118yH8stC56DSI</t>
  </si>
  <si>
    <t>https://docs.google.com/spreadsheets/d/1JlVTgYiwj5RSCzBUV3Wogqztj5nIK118yH8stC56DSI/edit</t>
  </si>
  <si>
    <t>ESCOLA MUNICIPAL ORLANDO BRENO</t>
  </si>
  <si>
    <t>1D_4Aqjp4RAl_RJ7AKH_oeNeXQuzMRtewUbo7ye33vPw</t>
  </si>
  <si>
    <t>https://docs.google.com/spreadsheets/d/1D_4Aqjp4RAl_RJ7AKH_oeNeXQuzMRtewUbo7ye33vPw/edit</t>
  </si>
  <si>
    <t>ESCOLA MUNICIPAL PROFESSOR COSTA PINTO</t>
  </si>
  <si>
    <t>19QRVNHZ6TtMu8wanfxd0FE_K8y07GIXMyywiByFZKY8</t>
  </si>
  <si>
    <t>https://docs.google.com/spreadsheets/d/19QRVNHZ6TtMu8wanfxd0FE_K8y07GIXMyywiByFZKY8/edit</t>
  </si>
  <si>
    <t>ESCOLA MUNICIPAL PROFESSORA MARIA JOSE BEZERRA</t>
  </si>
  <si>
    <t>18zE3qWgUrhAIo0-eGFfehBvK9rMrhA6hAHYMaPak2CM</t>
  </si>
  <si>
    <t>https://docs.google.com/spreadsheets/d/18zE3qWgUrhAIo0-eGFfehBvK9rMrhA6hAHYMaPak2CM/edit</t>
  </si>
  <si>
    <t>REGIONAL 4</t>
  </si>
  <si>
    <t>1RPa6JR977dmX-SEblypy8qdL98gIUtMK9M5s1GBK1Jg</t>
  </si>
  <si>
    <t>https://docs.google.com/spreadsheets/d/1RPa6JR977dmX-SEblypy8qdL98gIUtMK9M5s1GBK1Jg/edit</t>
  </si>
  <si>
    <t>CEMEI PROFESSORA MARINALVA MARIA VICENTE</t>
  </si>
  <si>
    <t>1Nl_xicMsPoS4Dns2XU5HAnq0XQUuXI8Vb6X9dbc-8Jw</t>
  </si>
  <si>
    <t>https://docs.google.com/spreadsheets/d/1Nl_xicMsPoS4Dns2XU5HAnq0XQUuXI8Vb6X9dbc-8Jw/edit</t>
  </si>
  <si>
    <t>ESCOLA MUNICIPAL ALBERTO LUIZ RUSSO</t>
  </si>
  <si>
    <t>1NN4ndG4a5jp2Vx97kI7YEFI8U_3OYHkyfgMUzKDb_9M</t>
  </si>
  <si>
    <t>https://docs.google.com/spreadsheets/d/1NN4ndG4a5jp2Vx97kI7YEFI8U_3OYHkyfgMUzKDb_9M/edit</t>
  </si>
  <si>
    <t>ESCOLA MUNICIPAL ANA FARIAS DE SOUZA</t>
  </si>
  <si>
    <t>1QEaKnvSPvzSG0eSft4wvzcHaVGQ1BEp9P-whOBpyM3k</t>
  </si>
  <si>
    <t>https://docs.google.com/spreadsheets/d/1QEaKnvSPvzSG0eSft4wvzcHaVGQ1BEp9P-whOBpyM3k/edit</t>
  </si>
  <si>
    <t>ESCOLA MUNICIPAL BARAO DE MURIBECA</t>
  </si>
  <si>
    <t>1GaMuMKm6gxJVbB3LEWDM8Q1j8lmcLCFNtkN9qTVlVGg</t>
  </si>
  <si>
    <t>https://docs.google.com/spreadsheets/d/1GaMuMKm6gxJVbB3LEWDM8Q1j8lmcLCFNtkN9qTVlVGg/edit</t>
  </si>
  <si>
    <t>ESCOLA MUNICIPAL COMPOSITOR LUIZ GONZAGA</t>
  </si>
  <si>
    <t>1CKBdZhz9BsiF1Hhzng-GHny3mHxuixmNGnHSAU58xSs</t>
  </si>
  <si>
    <t>https://docs.google.com/spreadsheets/d/1CKBdZhz9BsiF1Hhzng-GHny3mHxuixmNGnHSAU58xSs/edit</t>
  </si>
  <si>
    <t>ESCOLA MUNICIPAL ESTELITA MARIA MENDES</t>
  </si>
  <si>
    <t>16i-KaIpzItmdcXBgziEbkuoznRLqnkBQdTlLtzRbrgA</t>
  </si>
  <si>
    <t>https://docs.google.com/spreadsheets/d/16i-KaIpzItmdcXBgziEbkuoznRLqnkBQdTlLtzRbrgA/edit</t>
  </si>
  <si>
    <t>ESCOLA MUNICIPAL MARIA FEIJO</t>
  </si>
  <si>
    <t>15Zmayd5NBMgZ-Sbm3r0Z06JPip27VamLNpeRsme60jY</t>
  </si>
  <si>
    <t>https://docs.google.com/spreadsheets/d/15Zmayd5NBMgZ-Sbm3r0Z06JPip27VamLNpeRsme60jY/edit</t>
  </si>
  <si>
    <t>ESCOLA MUNICIPAL PROFESSORA TECLA TEIXEIRA DE ARRUDA</t>
  </si>
  <si>
    <t>14q3_I35-YjyiRAKUBNoE2ZogwrWancQF2zVKuyc8Z0A</t>
  </si>
  <si>
    <t>https://docs.google.com/spreadsheets/d/14q3_I35-YjyiRAKUBNoE2ZogwrWancQF2zVKuyc8Z0A/edit</t>
  </si>
  <si>
    <t>ESCOLA MUNICIPAL RURAL MARCELO LAFAYETTE</t>
  </si>
  <si>
    <t>105dEq5x2TnV6LEtSxeNhAe6QenY9fqxwRONcam-sv0o</t>
  </si>
  <si>
    <t>https://docs.google.com/spreadsheets/d/105dEq5x2TnV6LEtSxeNhAe6QenY9fqxwRONcam-sv0o/edit</t>
  </si>
  <si>
    <t>ESCOLA MUNICIPAL VALDEMIRO VIEIRA DE ALBUQUERQUE</t>
  </si>
  <si>
    <t>1-EnWrM4iHnkNZ1a0AtLrs2kn906IMVzwoXXXpzvbyCc</t>
  </si>
  <si>
    <t>https://docs.google.com/spreadsheets/d/1-EnWrM4iHnkNZ1a0AtLrs2kn906IMVzwoXXXpzvbyCc/edit</t>
  </si>
  <si>
    <t>REGIONAL 5</t>
  </si>
  <si>
    <t>CEMEI LINDOMAR DOMINGOS DA SILVA ANJOS</t>
  </si>
  <si>
    <t>1grFQmqqRzhE3JQz98_D3hUSqY8RHOc8Gqi536VvBfno</t>
  </si>
  <si>
    <t>https://docs.google.com/spreadsheets/d/1grFQmqqRzhE3JQz98_D3hUSqY8RHOc8Gqi536VvBfno/edit</t>
  </si>
  <si>
    <t>CEMEI PROFESSORA MARIA DE FATIMA DA SILVA</t>
  </si>
  <si>
    <t>1an1esyqjEGDzUgNt_Tro9LwB3Qi9_01Z9y7c8BxMgE0</t>
  </si>
  <si>
    <t>https://docs.google.com/spreadsheets/d/1an1esyqjEGDzUgNt_Tro9LwB3Qi9_01Z9y7c8BxMgE0/edit</t>
  </si>
  <si>
    <t>CEMEI PROFESSORA MARIA LUZIA RIO LIMA</t>
  </si>
  <si>
    <t>1YBGgghBIxELuC_m8tVQoglUb9qL3e_u847n-aQBgC-I</t>
  </si>
  <si>
    <t>https://docs.google.com/spreadsheets/d/1YBGgghBIxELuC_m8tVQoglUb9qL3e_u847n-aQBgC-I/edit</t>
  </si>
  <si>
    <t>1Xr6qW_wh0m5KY3tfS0zxvJI0xRB89COj2zoJyH-rvgI</t>
  </si>
  <si>
    <t>https://docs.google.com/spreadsheets/d/1Xr6qW_wh0m5KY3tfS0zxvJI0xRB89COj2zoJyH-rvgI/edit</t>
  </si>
  <si>
    <t>ESCOLA MUNICIPAL CHICO MENDES</t>
  </si>
  <si>
    <t>1SfMm6s-gUsxvpkbENZP7JznvCLFHeO2uXrNHzFy-_NM</t>
  </si>
  <si>
    <t>https://docs.google.com/spreadsheets/d/1SfMm6s-gUsxvpkbENZP7JznvCLFHeO2uXrNHzFy-_NM/edit</t>
  </si>
  <si>
    <t>ESCOLA MUNICIPAL DIVINA PROVIDENCIA</t>
  </si>
  <si>
    <t>1bcqsXaK15GTbi-g1D5JKs0yxHyhU3cJqXDF24WMAHrw</t>
  </si>
  <si>
    <t>https://docs.google.com/spreadsheets/d/1bcqsXaK15GTbi-g1D5JKs0yxHyhU3cJqXDF24WMAHrw/edit</t>
  </si>
  <si>
    <t>ESCOLA MUNICIPAL DJACY GLICERIO</t>
  </si>
  <si>
    <t>1Y2WFETt_Xa-VRhD0lg32q2_aPEzydWvzBwQMpxLGWEc</t>
  </si>
  <si>
    <t>https://docs.google.com/spreadsheets/d/1Y2WFETt_Xa-VRhD0lg32q2_aPEzydWvzBwQMpxLGWEc/edit</t>
  </si>
  <si>
    <t>ESCOLA MUNICIPAL FRANCISCA ARAUJO DE SOUZA</t>
  </si>
  <si>
    <t>1_zBnzmq9k65tipARCBL0yE4E1ZBxc40L0ZXL3_I8JDc</t>
  </si>
  <si>
    <t>https://docs.google.com/spreadsheets/d/1_zBnzmq9k65tipARCBL0yE4E1ZBxc40L0ZXL3_I8JDc/edit</t>
  </si>
  <si>
    <t>ESCOLA MUNICIPAL GIANE FREITAS DE LIMA</t>
  </si>
  <si>
    <t>1T5m0PsrZG5j9ozXnRgnVucJ31EMnDCfTbe2KUw9Nvpk</t>
  </si>
  <si>
    <t>https://docs.google.com/spreadsheets/d/1T5m0PsrZG5j9ozXnRgnVucJ31EMnDCfTbe2KUw9Nvpk/edit</t>
  </si>
  <si>
    <t>ESCOLA MUNICIPAL LUIZ LUA GONZAGA</t>
  </si>
  <si>
    <t>1Re0TIDZFiwAOrWjLqW6mu14plPMy9nxJjqDotXuHUns</t>
  </si>
  <si>
    <t>https://docs.google.com/spreadsheets/d/1Re0TIDZFiwAOrWjLqW6mu14plPMy9nxJjqDotXuHUns/edit</t>
  </si>
  <si>
    <t>ESCOLA MUNICIPAL MARECHAL COSTA E SILVA</t>
  </si>
  <si>
    <t>1OkJZGXd19NvWPEZwzYlzS5MI3lt9QFYJu0UUySkRjes</t>
  </si>
  <si>
    <t>https://docs.google.com/spreadsheets/d/1OkJZGXd19NvWPEZwzYlzS5MI3lt9QFYJu0UUySkRjes/edit</t>
  </si>
  <si>
    <t>ESCOLA MUNICIPAL NATIVIDADE SALDANHA</t>
  </si>
  <si>
    <t>1Me7_oCy_wuu0UOSbm11jaByWHuwwYTI4Tj9r_3bsrD0</t>
  </si>
  <si>
    <t>https://docs.google.com/spreadsheets/d/1Me7_oCy_wuu0UOSbm11jaByWHuwwYTI4Tj9r_3bsrD0/edit</t>
  </si>
  <si>
    <t>ESCOLA MUNICIPAL NICEA CAHU</t>
  </si>
  <si>
    <t>1MDDSQRPRDtyeAG0SB8maV3wUyzipMUrzRKO4_3qM_cQ</t>
  </si>
  <si>
    <t>https://docs.google.com/spreadsheets/d/1MDDSQRPRDtyeAG0SB8maV3wUyzipMUrzRKO4_3qM_cQ/edit</t>
  </si>
  <si>
    <t>ESCOLA MUNICIPAL NOSSA SENHORA APARECIDA</t>
  </si>
  <si>
    <t>1y1ybmqO59g0xsUZjywJRguq5a592oTuciI8dpjrX8ss</t>
  </si>
  <si>
    <t>https://docs.google.com/spreadsheets/d/1y1ybmqO59g0xsUZjywJRguq5a592oTuciI8dpjrX8ss/edit</t>
  </si>
  <si>
    <t xml:space="preserve">RURAL </t>
  </si>
  <si>
    <t>ESCOLA MUNICIPAL NOSSA SENHORA DO CARMO</t>
  </si>
  <si>
    <t>1M4qLWLdYuPaTeuvAx-G9A6wVTU2fgt_AlXFmRsnrGxQ</t>
  </si>
  <si>
    <t>https://docs.google.com/spreadsheets/d/1M4qLWLdYuPaTeuvAx-G9A6wVTU2fgt_AlXFmRsnrGxQ/edit</t>
  </si>
  <si>
    <t>ESCOLA MUNICIPAL NOVA DIVINEA</t>
  </si>
  <si>
    <t>1IlYYmVuxvBvhmj9IIh0UySeRhsT5doa_zuuL3LzQQ9w</t>
  </si>
  <si>
    <t>https://docs.google.com/spreadsheets/d/1IlYYmVuxvBvhmj9IIh0UySeRhsT5doa_zuuL3LzQQ9w/edit</t>
  </si>
  <si>
    <t>ESCOLA MUNICIPAL PAULO MENELAU</t>
  </si>
  <si>
    <t>1HXaoTH-PKjGN4K3omaNZnV26xMARmI9eMi9FQgB2-Uw</t>
  </si>
  <si>
    <t>https://docs.google.com/spreadsheets/d/1HXaoTH-PKjGN4K3omaNZnV26xMARmI9eMi9FQgB2-Uw/edit</t>
  </si>
  <si>
    <t>ESCOLA MUNICIPAL POETA CASTRO ALVES</t>
  </si>
  <si>
    <t>1-SoE2_GsmPC-nk6hYJ8gSHnal5ZIj0GL6lJeV3rDOU8</t>
  </si>
  <si>
    <t>https://docs.google.com/spreadsheets/d/1-SoE2_GsmPC-nk6hYJ8gSHnal5ZIj0GL6lJeV3rDOU8/edit</t>
  </si>
  <si>
    <t>ESCOLA MUNICIPAL POETISA FRANCISCA IZIDORA</t>
  </si>
  <si>
    <t>1nkw2LrqLerxk-bLDuPe5v-Q8hPbGam_i9A9mP82Axs8</t>
  </si>
  <si>
    <t>https://docs.google.com/spreadsheets/d/1nkw2LrqLerxk-bLDuPe5v-Q8hPbGam_i9A9mP82Axs8/edit</t>
  </si>
  <si>
    <t>ESCOLA MUNICIPAL PORTO DA CIDADANIA</t>
  </si>
  <si>
    <t>1hx7sNYGGv3rC55ygsdhwhZulTCWqTepRGwNpGwL4lps</t>
  </si>
  <si>
    <t>https://docs.google.com/spreadsheets/d/1hx7sNYGGv3rC55ygsdhwhZulTCWqTepRGwNpGwL4lps/edit</t>
  </si>
  <si>
    <t>ESCOLA MUNICIPAL PROFª CANDIDA DE ANDRADE MACIEL</t>
  </si>
  <si>
    <t>18EUIOBAJhrU8qUqKyspp8ere_8UIgLUxs5GYrd9hJIo</t>
  </si>
  <si>
    <t>https://docs.google.com/spreadsheets/d/18EUIOBAJhrU8qUqKyspp8ere_8UIgLUxs5GYrd9hJIo/edit</t>
  </si>
  <si>
    <t>ESCOLA MUNICIPAL RURAL PROFESSOR AUGUSTO DE CASTRO</t>
  </si>
  <si>
    <t>1gSBsqiuD1SBV-Fw6SViuoLNDAcFhTb8z86R52jbX0Gg</t>
  </si>
  <si>
    <t>https://docs.google.com/spreadsheets/d/1gSBsqiuD1SBV-Fw6SViuoLNDAcFhTb8z86R52jbX0Gg/edit</t>
  </si>
  <si>
    <t>ESCOLA MUNICIPAL VANIA LARANJEIRA</t>
  </si>
  <si>
    <t>1dcZPOdojCR82JqcyFjm6YdnWVcXVh3Q6YP05fPJBTHo</t>
  </si>
  <si>
    <t>https://docs.google.com/spreadsheets/d/1dcZPOdojCR82JqcyFjm6YdnWVcXVh3Q6YP05fPJBTHo/edit</t>
  </si>
  <si>
    <t>REGIONAL 6</t>
  </si>
  <si>
    <t>CEMEI LIGIA DE ARAUJO DE OLIVEIRA</t>
  </si>
  <si>
    <t>1yaAU3Gdb2v8h45PSxbWZDT_SX1SQKiBVwX6abSHOMX8</t>
  </si>
  <si>
    <t>https://docs.google.com/spreadsheets/d/1yaAU3Gdb2v8h45PSxbWZDT_SX1SQKiBVwX6abSHOMX8/edit</t>
  </si>
  <si>
    <t>CEMEI PROF SIMONE PATRICIA FERREIRA DA SILVA</t>
  </si>
  <si>
    <t>1t84eibU921dPw-mzz6SfjudYKOV9fs1J21kL70fAIP8</t>
  </si>
  <si>
    <t>https://docs.google.com/spreadsheets/d/1t84eibU921dPw-mzz6SfjudYKOV9fs1J21kL70fAIP8/edit</t>
  </si>
  <si>
    <t>CEMEI PROFESSORA MARLUCIA EVANGELISTA DE SOUZA</t>
  </si>
  <si>
    <t>1plxAg5Iwx16SpEFVQmW2dLC31GqPRAzRpjeJG3W1EMk</t>
  </si>
  <si>
    <t>https://docs.google.com/spreadsheets/d/1plxAg5Iwx16SpEFVQmW2dLC31GqPRAzRpjeJG3W1EMk/edit</t>
  </si>
  <si>
    <t>CEMEI RAKELLY NOGUEIRA DO NASCIMENTO</t>
  </si>
  <si>
    <t>1k5YnUvaI-0ZuFq4jlWB8cKUhHLAtiIBWFTA1thosQq8</t>
  </si>
  <si>
    <t>https://docs.google.com/spreadsheets/d/1k5YnUvaI-0ZuFq4jlWB8cKUhHLAtiIBWFTA1thosQq8/edit</t>
  </si>
  <si>
    <t>COLEGIO MUNICIPAL VISCONDE DE SUASSUNA</t>
  </si>
  <si>
    <t>1yTZYIb0h2vqD2-SyIdV5LywcT3oM9rFdDAz-FPraNl4</t>
  </si>
  <si>
    <t>https://docs.google.com/spreadsheets/d/1yTZYIb0h2vqD2-SyIdV5LywcT3oM9rFdDAz-FPraNl4/edit</t>
  </si>
  <si>
    <t>1ZiuCxP70WGkopdQ14-qx-QMu7BOsGd5SPEgcX72OESY</t>
  </si>
  <si>
    <t>https://docs.google.com/spreadsheets/d/1ZiuCxP70WGkopdQ14-qx-QMu7BOsGd5SPEgcX72OESY/edit</t>
  </si>
  <si>
    <t>ESCOLA MUNICIPAL ALMIRANTE TAMANDARE</t>
  </si>
  <si>
    <t>1_mHlp7gHcKmN-Nem5MrOM7bJnRzpioLA2jBpfwDjPrg</t>
  </si>
  <si>
    <t>https://docs.google.com/spreadsheets/d/1_mHlp7gHcKmN-Nem5MrOM7bJnRzpioLA2jBpfwDjPrg/edit</t>
  </si>
  <si>
    <t>ESCOLA MUNICIPAL ALUISIO DA CUNHA MORAIS</t>
  </si>
  <si>
    <t>1ZjGlZ5VKB4BLmRy3NlEguuiJwpr6nasWO0RvD8hdXe0</t>
  </si>
  <si>
    <t>https://docs.google.com/spreadsheets/d/1ZjGlZ5VKB4BLmRy3NlEguuiJwpr6nasWO0RvD8hdXe0/edit</t>
  </si>
  <si>
    <t>ESCOLA MUNICIPAL DE TEMPO INTEGRAL NOSSA ESCOLA ANOS FINAIS</t>
  </si>
  <si>
    <t>1Y0B5G84zDai4ZYUa0QK2AYLefxJs6_ecMbM_t-oCoBY</t>
  </si>
  <si>
    <t>https://docs.google.com/spreadsheets/d/1Y0B5G84zDai4ZYUa0QK2AYLefxJs6_ecMbM_t-oCoBY/edit</t>
  </si>
  <si>
    <t>ESCOLA MUNICIPAL GALBA MATOS</t>
  </si>
  <si>
    <t>1QYehmCOgewjmMtZjuLmjQHaRIhkIJ8mID9JsCXDMKLo</t>
  </si>
  <si>
    <t>https://docs.google.com/spreadsheets/d/1QYehmCOgewjmMtZjuLmjQHaRIhkIJ8mID9JsCXDMKLo/edit</t>
  </si>
  <si>
    <t>ESCOLA MUNICIPAL JOSE RODOVALHO</t>
  </si>
  <si>
    <t>1PrH2uFzZAqG_rGEkYbgkY4u4L5VFbDQIaHBmxf_7Zu8</t>
  </si>
  <si>
    <t>https://docs.google.com/spreadsheets/d/1PrH2uFzZAqG_rGEkYbgkY4u4L5VFbDQIaHBmxf_7Zu8/edit</t>
  </si>
  <si>
    <t>ESCOLA MUNICIPAL NINA DE OLIVEIRA</t>
  </si>
  <si>
    <t>1IiiV8BwlZ8yIIrYJ5Ii42C5xGO1qtxcsRGf4K0Q0AW8</t>
  </si>
  <si>
    <t>https://docs.google.com/spreadsheets/d/1IiiV8BwlZ8yIIrYJ5Ii42C5xGO1qtxcsRGf4K0Q0AW8/edit</t>
  </si>
  <si>
    <t>ESCOLA MUNICIPAL NOSSA SENHORA DO LORETO</t>
  </si>
  <si>
    <t>1DhrCuSYlz5ithxqBrtX8-553lYVcKvbpw6oCCDWfpqk</t>
  </si>
  <si>
    <t>https://docs.google.com/spreadsheets/d/1DhrCuSYlz5ithxqBrtX8-553lYVcKvbpw6oCCDWfpqk/edit</t>
  </si>
  <si>
    <t>ESCOLA MUNICIPAL NOVO HORIZONTE</t>
  </si>
  <si>
    <t>19OqzWiegoX57X7CHyBgx4LTzWdTjERss_e-f2MpfxG4</t>
  </si>
  <si>
    <t>https://docs.google.com/spreadsheets/d/19OqzWiegoX57X7CHyBgx4LTzWdTjERss_e-f2MpfxG4/edit</t>
  </si>
  <si>
    <t>ESCOLA MUNICIPAL OSCAR MOURA</t>
  </si>
  <si>
    <t>18YWb8p10dgo-mtUFVKjPVUX46gmLu93hlt07OQO2Dkc</t>
  </si>
  <si>
    <t>https://docs.google.com/spreadsheets/d/18YWb8p10dgo-mtUFVKjPVUX46gmLu93hlt07OQO2Dkc/edit</t>
  </si>
  <si>
    <t>ESCOLA MUNICIPAL PAULINO MENELAU</t>
  </si>
  <si>
    <t>17sWiMWCIVk6w6oojE3YL7RmzLDi_FuHOD_g2-JosTTQ</t>
  </si>
  <si>
    <t>https://docs.google.com/spreadsheets/d/17sWiMWCIVk6w6oojE3YL7RmzLDi_FuHOD_g2-JosTTQ/edit</t>
  </si>
  <si>
    <t>ESCOLA MUNICIPAL PROFESSOR ALMIR OLIMPIO ALVES</t>
  </si>
  <si>
    <t>17K8NXHT7JP2rgzdyz4_UwSrHIEQiOq27n74ExAPO_aI</t>
  </si>
  <si>
    <t>https://docs.google.com/spreadsheets/d/17K8NXHT7JP2rgzdyz4_UwSrHIEQiOq27n74ExAPO_aI/edit</t>
  </si>
  <si>
    <t>ESCOLA MUNICIPAL PROFESSOR CARLOS JOSE RIBEIRO JUNIOR</t>
  </si>
  <si>
    <t>16goLxYED-TrwFYjVIM0OuoPrIzICp5yAbFIT1ltKS5s</t>
  </si>
  <si>
    <t>https://docs.google.com/spreadsheets/d/16goLxYED-TrwFYjVIM0OuoPrIzICp5yAbFIT1ltKS5s/edit</t>
  </si>
  <si>
    <t>ESCOLA MUNICIPAL PROFESSOR SILVIO ROMERO VIEIRA</t>
  </si>
  <si>
    <t>16aB2C_eN9rR308ClY8Nr-dasZ6aqJmJNJSamhS0kSJA</t>
  </si>
  <si>
    <t>https://docs.google.com/spreadsheets/d/16aB2C_eN9rR308ClY8Nr-dasZ6aqJmJNJSamhS0kSJA/edit</t>
  </si>
  <si>
    <t>ESCOLA MUNICIPAL PROFESSORA MARIZIA DOS SANTOS MELO</t>
  </si>
  <si>
    <t>1yQXEWKJYWQ4gYSEmxQDn4oIX-E4gTL9KyL0Qt6Z3-bg</t>
  </si>
  <si>
    <t>https://docs.google.com/spreadsheets/d/1yQXEWKJYWQ4gYSEmxQDn4oIX-E4gTL9KyL0Qt6Z3-bg/edit</t>
  </si>
  <si>
    <t>ESCOLA MUNICIPAL PROFESSORA RAQUEL GOMES DO NASCIMENTO</t>
  </si>
  <si>
    <t>1wPoq3ZReFLyQCC0Rc2jNYRflhUwOxkQ9KAOI1C-2J3I</t>
  </si>
  <si>
    <t>https://docs.google.com/spreadsheets/d/1wPoq3ZReFLyQCC0Rc2jNYRflhUwOxkQ9KAOI1C-2J3I/edit</t>
  </si>
  <si>
    <t>ESCOLA MUNICIPAL SALVIO SANTOS FARIAS</t>
  </si>
  <si>
    <t>1sU-HOcwgde49RcFQVMiFTzfayaYXuAqqan5s1AU8YxE</t>
  </si>
  <si>
    <t>https://docs.google.com/spreadsheets/d/1sU-HOcwgde49RcFQVMiFTzfayaYXuAqqan5s1AU8YxE/edit</t>
  </si>
  <si>
    <t>ESCOLA MUNICIPAL SANTA EDWIRGES</t>
  </si>
  <si>
    <t>1rCQxmx0My2AnvxqPPK-JbU8nXEqCIA8E66lZf5tCz4c</t>
  </si>
  <si>
    <t>https://docs.google.com/spreadsheets/d/1rCQxmx0My2AnvxqPPK-JbU8nXEqCIA8E66lZf5tCz4c/edit</t>
  </si>
  <si>
    <t>ESCOLA MUNICIPAL SANTA TEREZA DE AVILA</t>
  </si>
  <si>
    <t>1qlx7rH9Va8IeDK7GK1tabf7-yjZKRpgW8gwsRGqWchw</t>
  </si>
  <si>
    <t>https://docs.google.com/spreadsheets/d/1qlx7rH9Va8IeDK7GK1tabf7-yjZKRpgW8gwsRGqWchw/edit</t>
  </si>
  <si>
    <t>ESCOLA MUNICIPAL UBALDINO FIGUEIROA</t>
  </si>
  <si>
    <t>1pGg9rQXZ2AN3shayGD3dCX7pd4G2O79RKgsK3MM8Hgc</t>
  </si>
  <si>
    <t>https://docs.google.com/spreadsheets/d/1pGg9rQXZ2AN3shayGD3dCX7pd4G2O79RKgsK3MM8Hgc/edit</t>
  </si>
  <si>
    <t>ESCOLA MUNICIPAL VIDAL DE NEGREIROS</t>
  </si>
  <si>
    <t>1nzJG6sxqZoYkn3nR2cbIND8qc8_Luzwqem0Ipzdeo1Q</t>
  </si>
  <si>
    <t>https://docs.google.com/spreadsheets/d/1nzJG6sxqZoYkn3nR2cbIND8qc8_Luzwqem0Ipzdeo1Q/edit</t>
  </si>
  <si>
    <t>ESCOLA MUNICIPAL WALFRIDO COELHO</t>
  </si>
  <si>
    <t>1lUxJLpFmxWDmyqzmFU2HvJAm229xgFtfMjYvegtv8ds</t>
  </si>
  <si>
    <t>https://docs.google.com/spreadsheets/d/1lUxJLpFmxWDmyqzmFU2HvJAm229xgFtfMjYvegtv8ds/edit</t>
  </si>
  <si>
    <t>REGIONAL 7</t>
  </si>
  <si>
    <t>CEMEI CIBELE DE ANDRADE MENDES DE AZEVEDO</t>
  </si>
  <si>
    <t>1kd1jLIHgsdaj7kFXeHDbK0_IadyqPhVGqFi4EzI6ngw</t>
  </si>
  <si>
    <t>https://docs.google.com/spreadsheets/d/1kd1jLIHgsdaj7kFXeHDbK0_IadyqPhVGqFi4EzI6ngw/edit</t>
  </si>
  <si>
    <t>1EEQHCu_bbotwyTFHJagO1iQ5iiUyRX_64SVsfPuixqU</t>
  </si>
  <si>
    <t>https://docs.google.com/spreadsheets/d/1EEQHCu_bbotwyTFHJagO1iQ5iiUyRX_64SVsfPuixqU/edit</t>
  </si>
  <si>
    <t>1DBzgIWtqJGXm9OlOHW20tNmD7uDnsJgQvOqDCaOhgZg</t>
  </si>
  <si>
    <t>https://docs.google.com/spreadsheets/d/1DBzgIWtqJGXm9OlOHW20tNmD7uDnsJgQvOqDCaOhgZg/edit</t>
  </si>
  <si>
    <t>1iP7CMwAX4KvLJb86c-JuJBflMuUsE9F61IeIT7qqSLA</t>
  </si>
  <si>
    <t>https://docs.google.com/spreadsheets/d/1iP7CMwAX4KvLJb86c-JuJBflMuUsE9F61IeIT7qqSLA/edit</t>
  </si>
  <si>
    <t>COLEGIO MUNICIPAL JABOATAO DOS GUARARAPES</t>
  </si>
  <si>
    <t>18jY4roe6su9GkO4v6qi3qpMHNXLiVYVlt4XxUdsJtOs</t>
  </si>
  <si>
    <t>https://docs.google.com/spreadsheets/d/18jY4roe6su9GkO4v6qi3qpMHNXLiVYVlt4XxUdsJtOs/edit</t>
  </si>
  <si>
    <t>CRECHE SILVIA CRISTINA SANTOS BOTELHO</t>
  </si>
  <si>
    <t>1CFjXBkEjTviyhNcn3jD_xFXcWC-5Chu7gtr2sujeKfw</t>
  </si>
  <si>
    <t>https://docs.google.com/spreadsheets/d/1CFjXBkEjTviyhNcn3jD_xFXcWC-5Chu7gtr2sujeKfw/edit</t>
  </si>
  <si>
    <t>ESCOLA MUNICIPAL BARTOLOMEU DE GUSMAO</t>
  </si>
  <si>
    <t>17eRhTSolGhyUhHi7FL9ku14ycapee660_tdJPmOKIsQ</t>
  </si>
  <si>
    <t>https://docs.google.com/spreadsheets/d/17eRhTSolGhyUhHi7FL9ku14ycapee660_tdJPmOKIsQ/edit</t>
  </si>
  <si>
    <t>ESCOLA MUNICIPAL CLAUDIO AGRICIO</t>
  </si>
  <si>
    <t>1t9WO0tqQBLaRopAHAyzkxLM2a7c9FTcwO8LIyBimRKk</t>
  </si>
  <si>
    <t>https://docs.google.com/spreadsheets/d/1t9WO0tqQBLaRopAHAyzkxLM2a7c9FTcwO8LIyBimRKk/edit</t>
  </si>
  <si>
    <t>ESCOLA MUNICIPAL DJALMA FARIAS</t>
  </si>
  <si>
    <t>1jtqo4H7RLNuCsuGE1UBiwPB9rIl1ylXZSfIviRSy5uU</t>
  </si>
  <si>
    <t>https://docs.google.com/spreadsheets/d/1jtqo4H7RLNuCsuGE1UBiwPB9rIl1ylXZSfIviRSy5uU/edit</t>
  </si>
  <si>
    <t>ESCOLA MUNICIPAL DOM BENO</t>
  </si>
  <si>
    <t>1hOj6VWokQiAIR7iApHiOA5I7pGvwrcPifGuAXPM90Oc</t>
  </si>
  <si>
    <t>https://docs.google.com/spreadsheets/d/1hOj6VWokQiAIR7iApHiOA5I7pGvwrcPifGuAXPM90Oc/edit</t>
  </si>
  <si>
    <t>ESCOLA MUNICIPAL DOM CARLOS COELHO</t>
  </si>
  <si>
    <t>1U2mvZmlCnm2of5wXIhqMEwwxcEaE4cGtfHJxuVw1ao0</t>
  </si>
  <si>
    <t>https://docs.google.com/spreadsheets/d/1U2mvZmlCnm2of5wXIhqMEwwxcEaE4cGtfHJxuVw1ao0/edit</t>
  </si>
  <si>
    <t>ESCOLA MUNICIPAL HENRIQUE DIAS</t>
  </si>
  <si>
    <t>1IzoXdNvxjIN8IVt17FOc6sHAC5Kz6CHFroyIuJnWfno</t>
  </si>
  <si>
    <t>https://docs.google.com/spreadsheets/d/1IzoXdNvxjIN8IVt17FOc6sHAC5Kz6CHFroyIuJnWfno/edit</t>
  </si>
  <si>
    <t>ESCOLA MUNICIPAL JESUS DE NAZARE</t>
  </si>
  <si>
    <t>13ke3b4L_YC75lI9AIB7iUtB0CY3DFZzAJkBuB-uL4Bc</t>
  </si>
  <si>
    <t>https://docs.google.com/spreadsheets/d/13ke3b4L_YC75lI9AIB7iUtB0CY3DFZzAJkBuB-uL4Bc/edit</t>
  </si>
  <si>
    <t>ESCOLA MUNICIPAL MARCONIEDSON RODRIGUES MOREIRA</t>
  </si>
  <si>
    <t>1hueDgmMxKT_BNS94lrFElCPfLiz1Xmd-npLBTEryf9A</t>
  </si>
  <si>
    <t>https://docs.google.com/spreadsheets/d/1hueDgmMxKT_BNS94lrFElCPfLiz1Xmd-npLBTEryf9A/edit</t>
  </si>
  <si>
    <t>ESCOLA MUNICIPAL NOSSA SENHORA DE FATIMA</t>
  </si>
  <si>
    <t>1lT2y8Svk34E-G6eGncgVJaUBx0puh02CgDB86juX4WA</t>
  </si>
  <si>
    <t>https://docs.google.com/spreadsheets/d/1lT2y8Svk34E-G6eGncgVJaUBx0puh02CgDB86juX4WA/edit</t>
  </si>
  <si>
    <t>ESCOLA MUNICIPAL NOSSA SENHORA DOS PRAZERES</t>
  </si>
  <si>
    <t>1hqFUDzXZk1r3tKKrXCtkmt4EKHJ2MbRX3umMXFQUD2k</t>
  </si>
  <si>
    <t>https://docs.google.com/spreadsheets/d/1hqFUDzXZk1r3tKKrXCtkmt4EKHJ2MbRX3umMXFQUD2k/edit</t>
  </si>
  <si>
    <t>ESCOLA MUNICIPAL PROFESSOR ACHILES SALES DA SILVA</t>
  </si>
  <si>
    <t>1gvlFgHmwIQla03QmX-p0TZsAfRvNuQ1O2BeBeEjAd40</t>
  </si>
  <si>
    <t>https://docs.google.com/spreadsheets/d/1gvlFgHmwIQla03QmX-p0TZsAfRvNuQ1O2BeBeEjAd40/edit</t>
  </si>
  <si>
    <t>ESCOLA MUNICIPAL PROFESSORA EUNICE FELIX SILVA</t>
  </si>
  <si>
    <t>1nvKPd3nf9Ib9U2iXCStRr73rAZFAJLtUo0YS41X-1DA</t>
  </si>
  <si>
    <t>https://docs.google.com/spreadsheets/d/1nvKPd3nf9Ib9U2iXCStRr73rAZFAJLtUo0YS41X-1DA/edit</t>
  </si>
  <si>
    <t>ESCOLA MUNICIPAL PROFESSORA EXPEDITA HELENA ALMEIDA DA SILVA</t>
  </si>
  <si>
    <t>1Xuw2nQGV9rbf0MEW5NRSI1EXBzx7Tt_AtwzM2G3RlXY</t>
  </si>
  <si>
    <t>https://docs.google.com/spreadsheets/d/1Xuw2nQGV9rbf0MEW5NRSI1EXBzx7Tt_AtwzM2G3RlXY/edit</t>
  </si>
  <si>
    <t>ESCOLA MUNICIPAL PROFESSORA LUZIANA MARIA PEREIRA</t>
  </si>
  <si>
    <t>1UYEOJTHQ52RFo3PLIrlWbNUofqr0gXhwyxpA-ytiG8s</t>
  </si>
  <si>
    <t>https://docs.google.com/spreadsheets/d/1UYEOJTHQ52RFo3PLIrlWbNUofqr0gXhwyxpA-ytiG8s/edit</t>
  </si>
  <si>
    <t>ESCOLA MUNICIPAL VEREADOR ANTONIO JANUARIO</t>
  </si>
  <si>
    <t>12YFfzKMgMCIdzHag-WsPSn36SLv9LiHjjKIoHc0TCGY</t>
  </si>
  <si>
    <t>https://docs.google.com/spreadsheets/d/12YFfzKMgMCIdzHag-WsPSn36SLv9LiHjjKIoHc0TCGY/edit</t>
  </si>
  <si>
    <t>CÓDIGO INEP</t>
  </si>
  <si>
    <t>COMPOSIÇÃO DE ENSINO</t>
  </si>
  <si>
    <t>ANO ESCOLAR</t>
  </si>
  <si>
    <t>QUANTIDADE</t>
  </si>
  <si>
    <t>CEMEI DR. PAULO MENDES</t>
  </si>
  <si>
    <t>EDUCAÇÃO INFANTIL</t>
  </si>
  <si>
    <t>Matutino/Manhã</t>
  </si>
  <si>
    <t>CEMEI JOÃO FERNANDES VIEIRA</t>
  </si>
  <si>
    <t>CEMEI LIGIA ARAUJO DE OLIVEIRA</t>
  </si>
  <si>
    <t>EDUCACAO INFANTIL ( CEMEI )</t>
  </si>
  <si>
    <t>CEMEI PROFESSORA LINDOMAR DOMINGOS DA SILVA ANJOS</t>
  </si>
  <si>
    <t>CEMEI PROFESSORA MARIA DE FÁTIMA DA SILVA</t>
  </si>
  <si>
    <t>CEMEI PROFESSORA MARIA JOSÉ DA SILVA</t>
  </si>
  <si>
    <t>CEMEI PROFESSORA RAKELLY NOGUEIRA DO NASCIMENTO</t>
  </si>
  <si>
    <t>ENSINO FUNDAMENTAL ANOS FINAIS</t>
  </si>
  <si>
    <t>6º ANO</t>
  </si>
  <si>
    <t>CENTRO MUNICIPAL DE EDUCAÇÃO INFANTIL MARCOS FREIRE</t>
  </si>
  <si>
    <t>CENTRO MUNICIPAL PROFESSORA MARINALVA MARIA VICENTE</t>
  </si>
  <si>
    <t>CENTRO MUNICIPAL PROFESSORA SIMONE PATRICIA FERREIRA DA SILVA</t>
  </si>
  <si>
    <t>COLÉGIO MUNICIPAL HUMBERTO BARRADAS</t>
  </si>
  <si>
    <t>ENSINO FUNDAMENTAL ANOS FINAIS - INTEGRAL</t>
  </si>
  <si>
    <t>6º ANO (INTEGRAL)</t>
  </si>
  <si>
    <t>COLÉGIO MUNICIPAL JABOATAO DOS GUARARAPES (ECO)</t>
  </si>
  <si>
    <t>Vespertino/Tarde</t>
  </si>
  <si>
    <t>COLÉGIO MUNICIPAL VISCONDE DE SUASSUNA</t>
  </si>
  <si>
    <t>EJA - SEGUNDO SEGMENTO</t>
  </si>
  <si>
    <t>MÓDULO V</t>
  </si>
  <si>
    <t>Noturno/Noite</t>
  </si>
  <si>
    <t>CRECHE MUNICIPAL PROFESSORA SILVIA CRISTINA SANTOS BOTELHO</t>
  </si>
  <si>
    <t>ESCOLA ALICE VILAR DE AQUINO</t>
  </si>
  <si>
    <t>ESCOLA BARTOLOMEU DE GUSMÃO - ESCOLA DE TEMPO INTEGRAL</t>
  </si>
  <si>
    <t>7º ANO (INTEGRAL)</t>
  </si>
  <si>
    <t>ESCOLA COMPOSITOR LUIZ GONZAGA</t>
  </si>
  <si>
    <t>EJA - PRIMEIRO SEGMENTO</t>
  </si>
  <si>
    <t>MODULO I</t>
  </si>
  <si>
    <t>ESCOLA DIVINA PROVIDENCIA</t>
  </si>
  <si>
    <t>ENSINO FUNDAMENTAL ANOS INICIAIS</t>
  </si>
  <si>
    <t>2º ANO</t>
  </si>
  <si>
    <t>ESCOLA DJALMA FARIAS</t>
  </si>
  <si>
    <t>ESCOLA MUNICIPAL ALBERTO SANTOS DUMONT - ESCOLA DE TEMPO INTEGRAL</t>
  </si>
  <si>
    <t>ENSINO FUNDAMENTAL ANOS INICIAIS - INTEGRAL</t>
  </si>
  <si>
    <t>1º ANO (INTEGRAL)</t>
  </si>
  <si>
    <t>1º ANO</t>
  </si>
  <si>
    <t>ESCOLA MUNICIPAL ANÍBAL VAREJÃO</t>
  </si>
  <si>
    <t>5º ANO</t>
  </si>
  <si>
    <t>ESCOLA MUNICIPAL CLAUDIO AGRÍCIO</t>
  </si>
  <si>
    <t>ESCOLA MUNICIPAL D EMERY CARNEIRO</t>
  </si>
  <si>
    <t>ESCOLA MUNICIPAL DOUTOR MAURÍCIO MARTINS DE ALBUQUERQUE</t>
  </si>
  <si>
    <t>ESCOLA MUNICIPAL EM TEMPO INTEGRAL MARIA AUGUSTA DUTRA</t>
  </si>
  <si>
    <t>ESCOLA MUNICIPAL ESTER CAMPELO</t>
  </si>
  <si>
    <t>ESCOLA MUNICIPAL FRANCISCA ARAÚJO DE SOUZA</t>
  </si>
  <si>
    <t>ESCOLA MUNICIPAL JESUS DE NAZARÉ</t>
  </si>
  <si>
    <t>ESCOLA MUNICIPAL JOÃO BOSCO DE SENA</t>
  </si>
  <si>
    <t>ESCOLA MUNICIPAL JOSE RODOVALHO - ESCOLA DE TEMPO INTEGRAL</t>
  </si>
  <si>
    <t>9º ANO (INTEGRAL)</t>
  </si>
  <si>
    <t>ESCOLA MUNICIPAL NOSSA ESCOLA - ESCOLA DE TEMPO INTEGRAL</t>
  </si>
  <si>
    <t>ESCOLA MUNICIPAL NOSSA SENHORA APARECIDA - ESCOLA DE TEMPO INTEGRAL</t>
  </si>
  <si>
    <t>4º ANO</t>
  </si>
  <si>
    <t>MODULO II</t>
  </si>
  <si>
    <t>ESCOLA MUNICIPAL PASTOR JOÃO ADALGISO</t>
  </si>
  <si>
    <t>ESCOLA MUNICIPAL POETISA FRANCISCA ISIDORA</t>
  </si>
  <si>
    <t>3º ANO</t>
  </si>
  <si>
    <t>ESCOLA MUNICIPAL PROF° EUNICE FELIX SILVA</t>
  </si>
  <si>
    <t>7º ANO</t>
  </si>
  <si>
    <t>ESCOLA MUNICIPAL PROFESSOR CARLOS JOSÉ RIBEIRO JUNIOR</t>
  </si>
  <si>
    <t>ESCOLA MUNICIPAL PROFESSOR ORLANDO BRENO</t>
  </si>
  <si>
    <t>ESCOLA MUNICIPAL PROFESSOR ROBERTO INÁCIO DA SILVA</t>
  </si>
  <si>
    <t>ESCOLA MUNICIPAL PROFESSORA GIANE FREITAS DE LIMA</t>
  </si>
  <si>
    <t>ESCOLA MUNICIPAL PROFESSORA NAZETE VIEIRA DE LIMA</t>
  </si>
  <si>
    <t>ESCOLA MUNICIPAL PROFESSORA ODETE GOMES DE MORAIS</t>
  </si>
  <si>
    <t>ESCOLA MUNICIPAL RURAL DE TEMPO INTEGRAL NÍCIA ANACLETO CAHÚ</t>
  </si>
  <si>
    <t>ESCOLA MUNICIPAL RURAL MARIA ÂNGELA DE ALBUQUERQUE MARANHÃO</t>
  </si>
  <si>
    <t>ESCOLA MUNICIPAL RURAL MARIA FEIJÓ</t>
  </si>
  <si>
    <t>MÓDULO IV</t>
  </si>
  <si>
    <t>ESCOLA MUNICIPAL SANTA CATHERINE LABOURÉ</t>
  </si>
  <si>
    <t>ESCOLA MUNICIPAL VIDAL DE NEGREIROS - ESCOLA DE TEMPO INTEGRAL</t>
  </si>
  <si>
    <t>ESCOLA PROFESSOR COSTA PINTO</t>
  </si>
  <si>
    <t>ESCOLA PROFESSORA CANDIDA DE ANDRADE MACIEL</t>
  </si>
  <si>
    <t>ESCOLA PROFESSORA LENITA RIBEIRO DE CASTRO</t>
  </si>
  <si>
    <t>NOME ESCOLA PONTO ID</t>
  </si>
  <si>
    <t>Escola2</t>
  </si>
  <si>
    <t>Coluna 1</t>
  </si>
  <si>
    <t>Coluna 2</t>
  </si>
  <si>
    <t>Coluna 3</t>
  </si>
  <si>
    <t>Coluna 4</t>
  </si>
  <si>
    <t>Coluna 5</t>
  </si>
  <si>
    <t>Coluna 6</t>
  </si>
  <si>
    <t>Coluna 7</t>
  </si>
  <si>
    <t>Coluna 8</t>
  </si>
  <si>
    <t>Coluna 9</t>
  </si>
  <si>
    <t>Coluna 10</t>
  </si>
  <si>
    <t>Coluna 11</t>
  </si>
  <si>
    <t>Coluna 12</t>
  </si>
  <si>
    <t>Coluna 13</t>
  </si>
  <si>
    <t>Coluna 14</t>
  </si>
  <si>
    <t>Coluna 15</t>
  </si>
  <si>
    <t>Coluna 16</t>
  </si>
  <si>
    <t>Coluna 17</t>
  </si>
  <si>
    <t>Coluna 18</t>
  </si>
  <si>
    <t>Coluna 19</t>
  </si>
  <si>
    <t>1lRqBQQXPuk2pRQFrntkOT0KBaxUNaIKMjRo0KL88w9Q</t>
  </si>
  <si>
    <t>1jRfwj2J682Ce0Yz2X--lI2cT_tSjfivef3JgDFlZS6s</t>
  </si>
  <si>
    <t>1NEoUHVszCuiv5sNxVcXC4BVDq28ThNoksxWCU5tMHyA</t>
  </si>
  <si>
    <t>1tL6QeWBtsdyOBg0kLhM5f-cFJH36PwKwGcHyl7Eyd64</t>
  </si>
  <si>
    <t>CRECHE PROFESSORA MARIA RITA LINS</t>
  </si>
  <si>
    <t>1Fdrl5mJAGd2Uh9KlnHVwhZPyMs7q1_SlLUAECjXiNd4</t>
  </si>
  <si>
    <t>ESCOLA MUNICIPAL ALICE VILAR</t>
  </si>
  <si>
    <t>1wm2dFnT5mrhGNpESqjxguhNq63TE7y3kKPjXv9uexyI</t>
  </si>
  <si>
    <t>1zWjykojKVubONs_2uY1RdcbhrUABfUDud8Qch1lHQko</t>
  </si>
  <si>
    <t>1f9nt8MjVFj6uTW2LSNPsoqRy-0yURbu5AlSuPHXN8jw</t>
  </si>
  <si>
    <t>1pxEtTbEMKrIzkLu1PlzUGVbbPIinYTtHdmOh2j43CKM</t>
  </si>
  <si>
    <t>1ej52GJr6x8lyfjWgpitweprpwyyHGMCUaH2B4AJr4GU</t>
  </si>
  <si>
    <t>ESCOLA MUNICIPAL DR JOSÉ LEOPOLDINO</t>
  </si>
  <si>
    <t>11i4fnW3jM7PugexT8b4s_N1Y4YP1vdk1KomMyWOzp58</t>
  </si>
  <si>
    <t>1QDoYktHtnimu3E8rsTLMeyZykOaE1ceWWsc93-JTyo4</t>
  </si>
  <si>
    <t>1V6px_3M6Y2wC3TYkH2nyyouJPhKxKSMKdarUeYGqZqo</t>
  </si>
  <si>
    <t>1GiohSC82JPgQdaaOhJ40_vvMmz5dngXEfLivH3bLD3Q</t>
  </si>
  <si>
    <t>1jRqGNIKqKKnuMq-HrC69luU0701ooKqIelAm-W_wX8U</t>
  </si>
  <si>
    <t>1gPZkPn7FZdPvzfA1l3eoxWlHfqVHmdnrSxtiIZ4eNxU</t>
  </si>
  <si>
    <t>1BGPECQmNhWWadOBSNW_-PUFYvZxOgE6AfFCosrYHjVI</t>
  </si>
  <si>
    <t>1NYL0SA0KOsZ_LHtrDpiNYZ2Fw1y9f3UHFXkGqlEWv3w</t>
  </si>
  <si>
    <t>1IqOKzyID96XWhEl-IlAyTpG5I53grwTFoI51DQe-BrY</t>
  </si>
  <si>
    <t>11KYXZDiYTWyu33bK4fjHIVtC4KEhbQH7jaB9grLo7ls</t>
  </si>
  <si>
    <t>1-efXuVaY-DrEApQ39dbm_GCH-fPVi8SnzyQ2cwIDzLc</t>
  </si>
  <si>
    <t>1x3H-Y7kJXtxDx4FEftbXF70QOAVqVVFvE_5PVWioZ0g</t>
  </si>
  <si>
    <t>1K7-63sNMXV7XM9dbaBFlweLkCEfTZPQJ2vNJzmL8KGM</t>
  </si>
  <si>
    <t>10uTwuZS9RPDoJWEU69haLRm3WxvQyO_hQ8sa9PJxW38</t>
  </si>
  <si>
    <t>1dSPg1Aekk1PSrlRIFKirXJghUPpiPeaqbqc9yWMZPag</t>
  </si>
  <si>
    <t>1GFuMarST7lDQwEC2qbpC2ySzbcQC5O9I2HCoMumqv7s</t>
  </si>
  <si>
    <t>ESCOLA MUNICIPAL PROF. AUGUSTO PEREIRA JUNIOR</t>
  </si>
  <si>
    <t>1sy0jI-2i0g4ESL4zT0flNn6D0fowzphresI7XNUXoGM</t>
  </si>
  <si>
    <t>ESCOLA MUNICIPAL PROF. EDWARD BERNARDINO</t>
  </si>
  <si>
    <t>1MYjJIHrqWKCq8oh6nXg5gzqFYNWLWa4iYN9U2V9tz4E</t>
  </si>
  <si>
    <t>ESCOLA MUNICIPAL PROF. ROBERTO INACIO DA SILVA</t>
  </si>
  <si>
    <t>1nD3KQ3XEsIU62NUTu2zB7e3y2c_kAr1ufhO4UVWu3Mg</t>
  </si>
  <si>
    <t>1tbKYpIhYEQvj1NdHEIifU0ZMsxVTdi20bLaU5cXTHf4</t>
  </si>
  <si>
    <t>1jsZGzklycR_2lYlZBKxcO709zuzigVts12y97rfNb0w</t>
  </si>
  <si>
    <t>1I8YLlLxOTuwB84wXeQdeeVFsoLS37Lm2XFYWHnns6bc</t>
  </si>
  <si>
    <t>1A6OBBH4YHMav0NrmPzYJW16QTyhYBtYAMuonaXomrEg</t>
  </si>
  <si>
    <t>ESCOLA MUNICIPAL SÃO SEBASTIÃO</t>
  </si>
  <si>
    <t>1zOhL74TfaREbKWYSNG55Il54VzpAqV63MWDI6gDBLro</t>
  </si>
  <si>
    <t>1scT5Q6bolkKJkmx-EZl2a8VwRUoAv0T3q8jnVbdU9Kk</t>
  </si>
  <si>
    <t>1YJ-sgqly5DNk64C5jIn42jXaNrb_f2nlaU-EKoLwtOc</t>
  </si>
  <si>
    <t>1BTiflswUW5OMqk-WDl6maMzP_sPnY2hnB7fRCa4cK5s</t>
  </si>
  <si>
    <t>ESCOLA MUNICIPAL ALAYDE MARIA DA CONCEICAO</t>
  </si>
  <si>
    <t>1olNYS7VzZ7zyHmpWhF2ACIO9Di1A3DX2w_vVud5fNj4</t>
  </si>
  <si>
    <t>1tkyB_K1FDstUVyidJ4ZMWLNI6RjSlambFli4-M7tKq8</t>
  </si>
  <si>
    <t>1uTXUWFK-vj_Ur5KEVsl2Cbe3IM4O2O6a87dei7L2KqE</t>
  </si>
  <si>
    <t>1C_kReyi9TmxOLZ6mvRTIHvGott2AzY-Sbo4fT7sNy7Q</t>
  </si>
  <si>
    <t>19j1wJCgKP9P-HdBwt1bj9Rb9SDjK4V7wtuWwQoSu2xI</t>
  </si>
  <si>
    <t>1K8meAyt-Fa952x7ecfdIPiuJzryV02hraHCmteFai1g</t>
  </si>
  <si>
    <t>1YqEFF0vdQ3bBnVav1lLfOKdR7J8u98m4tQ1j2NPgkXk</t>
  </si>
  <si>
    <t>1D08Zeg5lylYaPY0USu74ePK3OjQJ8LdrN3z9_hiScJI</t>
  </si>
  <si>
    <t>1XI2b-YoEfqlbc8-ZfZxdo7pTs4nbuBoCNE7ihQMAG7U</t>
  </si>
  <si>
    <t>1FoDtlRFxrdN-55wZyFCGUAkEU-ieyy-4jsT1rAYRVIM</t>
  </si>
  <si>
    <t>1AeZGYj2-EPw-Y7AC1BGx-XSJl_GF3h0bxqJYjDO3PVQ</t>
  </si>
  <si>
    <t>149ezD76k6JsZohFlPXTiH4v755iYMGoiEM_FV-Pupb0</t>
  </si>
  <si>
    <t>ESCOLA MUNICIPAL GILDO VERÍSSIMO</t>
  </si>
  <si>
    <t>1bHwNzXD3ncAJaoRaXIHO2YG1LbPah-PaW8M5Ay-HGpk</t>
  </si>
  <si>
    <t>1-ituVEbjSu7ZNuceqVLqNWmoMGOg8G_unxB9yQH_tTU</t>
  </si>
  <si>
    <t>17MHD1J1LhhFCvQNMX803b7iFqEBfY-kNZldYrXksbQw</t>
  </si>
  <si>
    <t>1n6h6xmtkZufLSMA4ZJQ4ybklNmoLDqVfSaVfiG8Dsxw</t>
  </si>
  <si>
    <t>1T4NILWWFSbbD4SbQNtrPsRAboYpIIxMztsuT6gp0Nlo</t>
  </si>
  <si>
    <t>1BKcwwPAbxkAEhJ5qKL7lDhseJ0pT2f0WsPk2mOMGU3U</t>
  </si>
  <si>
    <t>1EoFsoGm1mifQrL0lIblYkdf3KsYQkQa240QDoakmyJY</t>
  </si>
  <si>
    <t>1ATuOKhjtI9vcXnK2T0FX9yepLmi81kjcUavu_Z7gzsk</t>
  </si>
  <si>
    <t>1Tdnqqw7KwT4QcmJ0pru4Z7NskwlUjNbxS7SigZg1fAc</t>
  </si>
  <si>
    <t>17_HFnMmmW9wqiNiaOt0dfWXSuGOTwucQMcaIc9Vs6UQ</t>
  </si>
  <si>
    <t>1-WhoKoLqJPMdNSCZCuSrUpdFRr8ortBCW-sw6Y7DNoc</t>
  </si>
  <si>
    <t>19BY4xiPjxLF3df6Ry2wE8W1P1IiKGw4kIMPsPsTee_o</t>
  </si>
  <si>
    <t>1wEqyurmD03GgZwiRarRhS5IYPmhmIykRPBTndsuMLFQ</t>
  </si>
  <si>
    <t>13nw7B9EROLZZWPKm_1W4V0uiT0XVeTo15qeBjSPiVVs</t>
  </si>
  <si>
    <t>1be7QPlLdyn4zRMqHMESDGUDgLqRf5faYDuR23eJjEQE</t>
  </si>
  <si>
    <t>ESCOLA MUNICIPAL PROF. COSTA PINTO</t>
  </si>
  <si>
    <t>1nYnZSrvP94F6pp3kUDkyShHvJgqjV8pPl5WomyyEJGk</t>
  </si>
  <si>
    <t>ESCOLA MUNICIPAL PROF. ORLANDO BRENO</t>
  </si>
  <si>
    <t>1VvSAkKfmYQm3PDKPCgFM29GItPPlOvAxyDTd63K8500</t>
  </si>
  <si>
    <t>ESCOLA MUNICIPAL PROFESSORA LENITA RIBEIRO DE CASTRO</t>
  </si>
  <si>
    <t>1SbSOxJALtGaIz-4O1yz8UrKrbA1975W3Ps6VNFLkoDc</t>
  </si>
  <si>
    <t>1x91xWqhI2BSG98H4XtQmgtOKXDqNfOZk874PPYgZ41k</t>
  </si>
  <si>
    <t>1YLmWn-wjYybecHCR_Gj9dY7U5x7YfVXbHRfKmNCaPt8</t>
  </si>
  <si>
    <t>1-YAOCecICTMk34G_OiH_PgAUXhttIfxA7KDDf8mgc7g</t>
  </si>
  <si>
    <t>1YptTbp43P5pIwoIpM76Z-1fDLTv1W5c6Urq-sLV5x7Y</t>
  </si>
  <si>
    <t>12-O8QYZ_pfiRdQRzaww0_5s_fRNlQBy3k_a_CkgH7To</t>
  </si>
  <si>
    <t>1LOt-3evvcFbMyIkiLcXa2R5uCqh2bdj1-kIgkV52hz8</t>
  </si>
  <si>
    <t>ESCOLA MUNICIPAL BARÃO DE MURIBECA</t>
  </si>
  <si>
    <t>1Zpx-reZ-hEeAZWFwDko2OFCvWBwqG9Gzv77rTypmzB0</t>
  </si>
  <si>
    <t>18h-EYn1mk5XET6E_HfZK8aR_RN7REi73Xo0eSjPBRyo</t>
  </si>
  <si>
    <t>1CHvTysppBzMlNrcQpGyNwBX_oNVhMqM4GW1jK9Gxxd0</t>
  </si>
  <si>
    <t>ESCOLA MUNICIPAL MARIA FEIJÓ</t>
  </si>
  <si>
    <t>1c2hWtHXZDHcCtzXqvqAnpjSoNR8RcMlsEWPlTTN9k2Y</t>
  </si>
  <si>
    <t>1pV2fbbCrdOdCqWuVWgxxrNiJIXujUK7u_TKQCoHNl-o</t>
  </si>
  <si>
    <t>1fRRNUVpUUGYQhSGQc8LKc1Js5NZpuGrPYQzKcsO-6xk</t>
  </si>
  <si>
    <t>1EdL6xt8TQqTZix9EHHMBJELBEav_WAIyrXDUs_23UJM</t>
  </si>
  <si>
    <t>1f_-TYSWD4bM84qgjF-b77kXuLQFYD16kC-RULRkLurA</t>
  </si>
  <si>
    <t>1B760IWn5WmKc0_A3W2bbhQzvd5eBprEFoB22nrGF8lQ</t>
  </si>
  <si>
    <t>1RTiMqcpqt3BkxW4jGxydsOd0_IOHtk8zXHm-uUvQEBY</t>
  </si>
  <si>
    <t>1Qz8EgvWKclxxQTjNdRgRerKwr6_p-NvFxkp--CGSDHs</t>
  </si>
  <si>
    <t>1nQ57n9RjJQQQ2gPVTujZTmAVrdamfYVzoHp0E9O2pE4</t>
  </si>
  <si>
    <t>1ZXTvFvRITt2SeW_j9bmemZqQdaQJGbZRz2fBgpnHQyw</t>
  </si>
  <si>
    <t>1kqrfO8P-bcg9P5PLx5MjpALaooTIoUx0-nJq_wVIDtM</t>
  </si>
  <si>
    <t>11ld62HFjnd8tH815nqIjD44BqXX9Jgs-IpPNcNe-wBE</t>
  </si>
  <si>
    <t>18bhbHwDrRFpeFVZhZ3p7cS-Ft30cWF4O4uytkN8KkrM</t>
  </si>
  <si>
    <t>1o6quh5FEfAmK9JEkcIXijpfgdQ4GvrmSOdhb5INXj4A</t>
  </si>
  <si>
    <t>1MFW6mXpgk_oTskY0wC0Y6nuyQpZGWOOB4_qynC8Bczo</t>
  </si>
  <si>
    <t>ESCOLA MUNICIPAL NICIA ANACLETO CAHU</t>
  </si>
  <si>
    <t>1oA5JLM863_QDlAORZPLPWhsiQhg0zZsIfcnUvDMzeCc</t>
  </si>
  <si>
    <t>1e1GL5XCLpke3Gj6MhBcVtwOI_XvO_vR1piI_4_pAros</t>
  </si>
  <si>
    <t>1MQ-v64P5-xXTPSXoq5uCxIxPZQw-0RW9yk-GB3wQZ3A</t>
  </si>
  <si>
    <t>1RLsPDnStf1yS0jKmhOoa7S8lRDMB9yAvGadksxPAjSg</t>
  </si>
  <si>
    <t>1qm9I_3hIJ4dDBGGAlWvZuKzJNWq3MW80jXq8iur43qs</t>
  </si>
  <si>
    <t>1zH2cRsTgeEqaYIrskvdCXMdX67cLTjpGcRJnKtikbHY</t>
  </si>
  <si>
    <t>1g2RIxZuVpKtzZV5uHQRBlNSpO7me54CuMYIYJjEFzaM</t>
  </si>
  <si>
    <t>1SF9TFmhYw19QVle6gX3PdzaFPurJPNwCDckNvY9WCxY</t>
  </si>
  <si>
    <t>ESCOLA MUNICIPAL PROFESSORA CANDIDA DE ANDRADE MACIEL</t>
  </si>
  <si>
    <t>1LDHD0G8M7lSGAGxSTBmQDTOI5LHMld085GcUi0RXC2A</t>
  </si>
  <si>
    <t>ESCOLA MUNICIPAL PROFESSORA FRANCISCA ARAUJO DE SOUZA</t>
  </si>
  <si>
    <t>1L062Zq4vs5cO_RpZa1W-DVBQRQH-2j06oGhtkWaV_ls</t>
  </si>
  <si>
    <t>ESCOLA MUNICIPAL RURAL PROF. AUGUSTO DE CASTRO</t>
  </si>
  <si>
    <t>1PDbmQfT7UYymcoHuvcucitYn0-u11F9mD99UOiEpxK4</t>
  </si>
  <si>
    <t>1isyholnRrbFMUzrkOFQKvI1jQM2P9xBZrQnFadlkFwU</t>
  </si>
  <si>
    <t>CEMEI PROFESSORA LIGIA ARAÚJO DE OLIVEIRA</t>
  </si>
  <si>
    <t>1RMdXFbsvAm4qYOMPtI491GkeFbimFwB79v77s-hPpB0</t>
  </si>
  <si>
    <t>1uQmbt6oBTagqJURSE0Uots0fbj6RkEjZDZMXG_Wau-g</t>
  </si>
  <si>
    <t>1SKN09SFE5xnbLI1GJnUv8N_HBbXeM_DVluzCbTrBrTs</t>
  </si>
  <si>
    <t>CEMEI PROFESSORA SIMONE PATRICIA FERREIRA DA SILVA</t>
  </si>
  <si>
    <t>1m3HNqc3igc2MWqNovIYrkYcWMOk_BcfeXnKJZgP2su8</t>
  </si>
  <si>
    <t>1J9DHRHL1iD80hiUypoJfpsv6mbokLHbRmRaLv6QutRk</t>
  </si>
  <si>
    <t>1nnszCmY5MKwkDn34HAMVG6xyUJete8Da-DTQv3tJpTA</t>
  </si>
  <si>
    <t>1NfVwhbRiFBP9TEd9qiFGTYrFnDi8j0Ft8K9tXyNtOKU</t>
  </si>
  <si>
    <t>12AW6sjq6gqqZ4KI8J9VXbdhwem2prxHBnX7m2OChSbU</t>
  </si>
  <si>
    <t>ESCOLA MUNICIPAL EM T.I. NOSSA ESCOLA ANOS FINAIS</t>
  </si>
  <si>
    <t>1YcbicYtRV6kzfuJ7DUOz8jTPfhyFNPc_HHtlpJP2TRo</t>
  </si>
  <si>
    <t>1tpIsRUrI5t1lxLHQUSrxizz3hAZCVOcZn3PvfQbYuWQ</t>
  </si>
  <si>
    <t>1It9R8f05Yt_BRqiVAgUyKYmGEm79_RlCXn4gSr8nGS8</t>
  </si>
  <si>
    <t>ESCOLA MUNICIPAL MARIZIA DOS SANTOS MELO</t>
  </si>
  <si>
    <t>1JLDUJTJbrh-NsgBAbvvht0frGes_hzD_kcWOLdo1KA8</t>
  </si>
  <si>
    <t>14jMv5kcJStj1iHmcVPH0rl9fuzUhOZxXiFIhjSwbxE4</t>
  </si>
  <si>
    <t>1gLy4HfBH8Cafzl59WUF-2it0KvXY3w7I-ssb1D8LsxU</t>
  </si>
  <si>
    <t>1cjtIZ88mC9IMATcGPAC5I0SLYwhaO1WwULkvbZd7fnc</t>
  </si>
  <si>
    <t>1oC1mUixO7fRa50t5SXENv6mmqhjFhC90Lchbcyeu7nw</t>
  </si>
  <si>
    <t>1E4aQSL-ng_2VHM42nK3zApg82bDxPqOm_UVzuHCyT64</t>
  </si>
  <si>
    <t>ESCOLA MUNICIPAL PROF. ALMIR OLIMPIO ALVES</t>
  </si>
  <si>
    <t>ESCOLA MUNICIPAL PROFESSOR ALMIR OLÍMPIO ALVES</t>
  </si>
  <si>
    <t>120ztr7CebRKiCqDMygWNn7nwYOdbbcyKXGjvrPu8Z3c</t>
  </si>
  <si>
    <t>ESCOLA MUNICIPAL PROF. CARLOS JOSE RIBEIRO JUNIOR</t>
  </si>
  <si>
    <t>1hUUyOm2T9XrMyYKgbg7pFbN0I4jk4qC2JMlqZbHm6kk</t>
  </si>
  <si>
    <t>ESCOLA MUNICIPAL PROF. SALVIO SANTOS FARIAS</t>
  </si>
  <si>
    <t>ESCOLA MUNICIPAL PROFESSOR SÁLVIO SANTOS FARIAS</t>
  </si>
  <si>
    <t>1sPSCCNzgWU3xRYQ60QFaizb0BWkB9ao3P2e65CJqcIo</t>
  </si>
  <si>
    <t>ESCOLA MUNICIPAL PROF. SILVIO ROMERO VIEIRA</t>
  </si>
  <si>
    <t>15pNeF4kPJAbAUsp7iQUBQOGsLlrJ1YM867OEIuAMQdw</t>
  </si>
  <si>
    <t>1HP1csHmOh9ZI64LFhpv-kbbjq7jL7X5Ltv--3DjAB-c</t>
  </si>
  <si>
    <t>1JQQXErkxw09wbEzI95dXDOA9UXqON609DCOSphrSS7A</t>
  </si>
  <si>
    <t>1cba2kG9P2cRiKJmKrlIO4x-5mW6hv9_3zj0Ug300_GM</t>
  </si>
  <si>
    <t>1C5xEcNAQNs787bGjM26hbCaf7Q4YwF6f7IaVFvEtPCw</t>
  </si>
  <si>
    <t>1SFwH81-xChn_aRqUNt9waZSL-XAa3v6Ii_MCrlEZUSo</t>
  </si>
  <si>
    <t>13N-UlBBY0i922hlApszJ7VnKqrVT-PjWkKfyRM9tZqE</t>
  </si>
  <si>
    <t xml:space="preserve">CEMEI DR PAULO MENDES												</t>
  </si>
  <si>
    <t>1KiekjetdiBB6PeazSg53fagrDxvCxNm6duQrKLOaOsA</t>
  </si>
  <si>
    <t>1idWg_n2n8-s268lxc9hFdN8NriZwPGNV56sCBSs5JGU</t>
  </si>
  <si>
    <t>14Gu9-5aev1Pc-sbx_399wlBGtyehnzO-QLQ4X0XNLN0</t>
  </si>
  <si>
    <t>CEMEI PROFESSORA CIBELE DE ANDRADE MENDES DE AZEVEDO</t>
  </si>
  <si>
    <t>1Q5ac3jMHHsVBYB1ylf8_X9DMssm37R-xeVAX_SjzZfA</t>
  </si>
  <si>
    <t>1uO50PPyaxsCLvtFEu0LmN7fXD32lXnYqkzgt7bUPbZY</t>
  </si>
  <si>
    <t>CRECHE PROFESSORA SILVIA CRISTINA SANTOS BOTELHO</t>
  </si>
  <si>
    <t>1aN9uMPqzc8iAgUDc1E57-8wNgj6TXy4ATS1cdO7mk88</t>
  </si>
  <si>
    <t>1aLTFBGlOfka597hlqFFk8t4ZQv31i6SjhO3MSmChKhk</t>
  </si>
  <si>
    <t>1xUhjygdO7TpBfEL5w_6AfcNlcEIy84cSxC3zLrXyOEA</t>
  </si>
  <si>
    <t>1cLBzxOH9EcpgYhCfcyyUA6n-FCbvVRVPiZ49QHabsdg</t>
  </si>
  <si>
    <t>1dx8WL9ibdpIRZYhbuL1iRmIsLi2K2-LJcNDtZfm0eGQ</t>
  </si>
  <si>
    <t>11tgGiM2QCRu1ZPr6-k1Y6AtqHX0AXO1lNLwtDHk_6T0</t>
  </si>
  <si>
    <t>1i8Sh8_w6ojYPHaTi_mFjQhka1c68MUJiUf5qoF92Kz8</t>
  </si>
  <si>
    <t>12t3MjtwmUkNB2enduGJXMA7QlsqMH6akkV7rrV3Oi3o</t>
  </si>
  <si>
    <t>1CCCn_gdP0pa2k0TWxZdTUrBAE--EOPKORiKprE4L2Wc</t>
  </si>
  <si>
    <t>1mpoJlaoEttOVq5nlr4DU066CtbU6SEEqcUgHWsx4cC0</t>
  </si>
  <si>
    <t>ESCOLA MUNICIPAL PROF. ACHILES SALES DA SILVA</t>
  </si>
  <si>
    <t>1Qx_1pVWReBLETa0LlCz1MHLQ8O0juJYLbq7R9eu8qm0</t>
  </si>
  <si>
    <t>ESCOLA MUNICIPAL PROF. MARCONIEDSON RODRIGUES MOREIRA</t>
  </si>
  <si>
    <t>1zqwqr4wKfBGS3QuCw5ajgaWb-2GyDgIPEY2NH7pa5HU</t>
  </si>
  <si>
    <t>1i147PmJuBp-GAdNbBClRp9R1rZ7stH-ysGrmPiB0oFM</t>
  </si>
  <si>
    <t>1UpFJhjLzdQz7Jiskd-u6Rv7Fa7Gu2aSFAthO20jg53w</t>
  </si>
  <si>
    <t>1vTvTJVpp77ie4I28-AjttbzqhS6XfNXktRHigL_Ko-8</t>
  </si>
  <si>
    <t>ESCOLA MUNICIPAL VEREADOR ANTÔNIO JANUÁRIO</t>
  </si>
  <si>
    <t>1VlhfKJGbt8h3jZWzKZzK3xMJfKU2vb_wJ8YN03Zn66M</t>
  </si>
  <si>
    <t>MATRICULADO</t>
  </si>
  <si>
    <t>1hxPayDdBnaiPKtCb1UGIxlkRnOV82F7ROS8EXuD7bog</t>
  </si>
  <si>
    <t>1TOZLF6kzPOj1ymTMIqEBuEp-tK_ODfVoF_3ZxEBsnJQ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</si>
</sst>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176" formatCode="_-* #,##0.00_-;\-* #,##0.00_-;_-* &quot;-&quot;??_-;_-@_-"/>
    <numFmt numFmtId="177" formatCode="_-&quot;R$&quot;\ * #,##0.00_-;\-&quot;R$&quot;\ * #,##0.00_-;_-&quot;R$&quot;\ * &quot;-&quot;??_-;_-@_-"/>
    <numFmt numFmtId="178" formatCode="_-* #,##0_-;\-* #,##0_-;_-* &quot;-&quot;_-;_-@_-"/>
    <numFmt numFmtId="179" formatCode="_-&quot;R$&quot;\ * #,##0_-;\-&quot;R$&quot;\ * #,##0_-;_-&quot;R$&quot;\ * &quot;-&quot;_-;_-@_-"/>
    <numFmt numFmtId="180" formatCode="dd/mm/yyyy\ hh:mm:ss"/>
    <numFmt numFmtId="181" formatCode="d/m/yyyy"/>
    <numFmt numFmtId="182" formatCode="d/m/yyyy\ hh:mm:ss"/>
  </numFmts>
  <fonts count="40">
    <font>
      <sz val="10"/>
      <color rgb="FF000000"/>
      <name val="Calibri"/>
      <charset val="134"/>
      <scheme val="minor"/>
    </font>
    <font>
      <b/>
      <sz val="12"/>
      <color theme="1"/>
      <name val="Calibri"/>
      <charset val="134"/>
    </font>
    <font>
      <sz val="12"/>
      <color theme="1"/>
      <name val="Calibri"/>
      <charset val="134"/>
    </font>
    <font>
      <sz val="10"/>
      <color theme="1"/>
      <name val="Calibri"/>
      <charset val="134"/>
      <scheme val="minor"/>
    </font>
    <font>
      <sz val="10"/>
      <color theme="1"/>
      <name val="Calibri"/>
      <charset val="134"/>
    </font>
    <font>
      <b/>
      <sz val="10"/>
      <color theme="1"/>
      <name val="Arial"/>
      <charset val="134"/>
    </font>
    <font>
      <b/>
      <sz val="10"/>
      <color theme="1"/>
      <name val="Roboto"/>
      <charset val="134"/>
    </font>
    <font>
      <sz val="10"/>
      <color theme="1"/>
      <name val="Arial"/>
      <charset val="134"/>
    </font>
    <font>
      <sz val="10"/>
      <color rgb="FF434343"/>
      <name val="Arial"/>
      <charset val="134"/>
    </font>
    <font>
      <sz val="10"/>
      <color rgb="FF434343"/>
      <name val="Roboto"/>
      <charset val="134"/>
    </font>
    <font>
      <b/>
      <sz val="10"/>
      <color rgb="FF434343"/>
      <name val="Arial"/>
      <charset val="134"/>
    </font>
    <font>
      <b/>
      <sz val="10"/>
      <color rgb="FF434343"/>
      <name val="Roboto"/>
      <charset val="134"/>
    </font>
    <font>
      <b/>
      <sz val="13"/>
      <color theme="1"/>
      <name val="Calibri"/>
      <charset val="134"/>
    </font>
    <font>
      <sz val="13"/>
      <color theme="1"/>
      <name val="Calibri"/>
      <charset val="134"/>
    </font>
    <font>
      <b/>
      <sz val="13"/>
      <color theme="1"/>
      <name val="Arial"/>
      <charset val="134"/>
    </font>
    <font>
      <sz val="10"/>
      <name val="Calibri"/>
      <charset val="134"/>
      <scheme val="minor"/>
    </font>
    <font>
      <b/>
      <sz val="13"/>
      <color rgb="FFFFFFFF"/>
      <name val="Calibri"/>
      <charset val="134"/>
    </font>
    <font>
      <b/>
      <sz val="22"/>
      <color theme="1"/>
      <name val="Calibri"/>
      <charset val="134"/>
    </font>
    <font>
      <b/>
      <sz val="14"/>
      <color theme="1"/>
      <name val="Arial"/>
      <charset val="134"/>
    </font>
    <font>
      <sz val="9"/>
      <color rgb="FFFF0000"/>
      <name val="Arial"/>
      <charset val="134"/>
    </font>
    <font>
      <b/>
      <sz val="11"/>
      <color theme="1"/>
      <name val="Calibri"/>
      <charset val="134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40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6F8F9"/>
        <bgColor rgb="FFF6F8F9"/>
      </patternFill>
    </fill>
    <fill>
      <patternFill patternType="solid">
        <fgColor rgb="FF8DB4E2"/>
        <bgColor rgb="FF8DB4E2"/>
      </patternFill>
    </fill>
    <fill>
      <patternFill patternType="solid">
        <fgColor rgb="FF00FFFF"/>
        <bgColor rgb="FF00FFFF"/>
      </patternFill>
    </fill>
    <fill>
      <patternFill patternType="solid">
        <fgColor rgb="FFCCFFFF"/>
        <bgColor rgb="FFCCFFFF"/>
      </patternFill>
    </fill>
    <fill>
      <patternFill patternType="solid">
        <fgColor rgb="FFFFFF00"/>
        <bgColor rgb="FFFFFF00"/>
      </patternFill>
    </fill>
    <fill>
      <patternFill patternType="solid">
        <fgColor rgb="FFCCCCCC"/>
        <bgColor rgb="FFCCCCCC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6">
    <border>
      <left/>
      <right/>
      <top/>
      <bottom/>
      <diagonal/>
    </border>
    <border>
      <left style="thin">
        <color rgb="FF284E3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284E3F"/>
      </right>
      <top style="thin">
        <color rgb="FFFFFFFF"/>
      </top>
      <bottom style="thin">
        <color rgb="FFFFFFFF"/>
      </bottom>
      <diagonal/>
    </border>
    <border>
      <left style="thin">
        <color rgb="FF284E3F"/>
      </left>
      <right style="thin">
        <color rgb="FFF6F8F9"/>
      </right>
      <top style="thin">
        <color rgb="FFF6F8F9"/>
      </top>
      <bottom style="thin">
        <color rgb="FFF6F8F9"/>
      </bottom>
      <diagonal/>
    </border>
    <border>
      <left style="thin">
        <color rgb="FFF6F8F9"/>
      </left>
      <right style="thin">
        <color rgb="FFF6F8F9"/>
      </right>
      <top style="thin">
        <color rgb="FFF6F8F9"/>
      </top>
      <bottom style="thin">
        <color rgb="FFF6F8F9"/>
      </bottom>
      <diagonal/>
    </border>
    <border>
      <left style="thin">
        <color rgb="FFF6F8F9"/>
      </left>
      <right style="thin">
        <color rgb="FF284E3F"/>
      </right>
      <top style="thin">
        <color rgb="FFF6F8F9"/>
      </top>
      <bottom style="thin">
        <color rgb="FFF6F8F9"/>
      </bottom>
      <diagonal/>
    </border>
    <border>
      <left style="thin">
        <color rgb="FF284E3F"/>
      </left>
      <right style="thin">
        <color rgb="FFFFFFFF"/>
      </right>
      <top style="thin">
        <color rgb="FFFFFFFF"/>
      </top>
      <bottom style="thin">
        <color rgb="FF284E3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284E3F"/>
      </bottom>
      <diagonal/>
    </border>
    <border>
      <left style="thin">
        <color rgb="FFFFFFFF"/>
      </left>
      <right style="thin">
        <color rgb="FF284E3F"/>
      </right>
      <top style="thin">
        <color rgb="FFFFFFFF"/>
      </top>
      <bottom style="thin">
        <color rgb="FF284E3F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3" fillId="0" borderId="0" applyFont="0" applyFill="0" applyBorder="0" applyAlignment="0" applyProtection="0">
      <alignment vertical="center"/>
    </xf>
    <xf numFmtId="177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178" fontId="3" fillId="0" borderId="0" applyFont="0" applyFill="0" applyBorder="0" applyAlignment="0" applyProtection="0">
      <alignment vertical="center"/>
    </xf>
    <xf numFmtId="179" fontId="3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" fillId="9" borderId="18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7" fillId="0" borderId="19" applyNumberFormat="0" applyFill="0" applyAlignment="0" applyProtection="0">
      <alignment vertical="center"/>
    </xf>
    <xf numFmtId="0" fontId="28" fillId="0" borderId="20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10" borderId="21" applyNumberFormat="0" applyAlignment="0" applyProtection="0">
      <alignment vertical="center"/>
    </xf>
    <xf numFmtId="0" fontId="30" fillId="11" borderId="22" applyNumberFormat="0" applyAlignment="0" applyProtection="0">
      <alignment vertical="center"/>
    </xf>
    <xf numFmtId="0" fontId="31" fillId="11" borderId="21" applyNumberFormat="0" applyAlignment="0" applyProtection="0">
      <alignment vertical="center"/>
    </xf>
    <xf numFmtId="0" fontId="32" fillId="12" borderId="23" applyNumberFormat="0" applyAlignment="0" applyProtection="0">
      <alignment vertical="center"/>
    </xf>
    <xf numFmtId="0" fontId="33" fillId="0" borderId="24" applyNumberFormat="0" applyFill="0" applyAlignment="0" applyProtection="0">
      <alignment vertical="center"/>
    </xf>
    <xf numFmtId="0" fontId="34" fillId="0" borderId="25" applyNumberFormat="0" applyFill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33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</cellStyleXfs>
  <cellXfs count="107">
    <xf numFmtId="0" fontId="0" fillId="0" borderId="0" xfId="0" applyFont="1" applyAlignment="1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4" fillId="0" borderId="0" xfId="0" applyFont="1" applyAlignment="1"/>
    <xf numFmtId="0" fontId="4" fillId="0" borderId="0" xfId="0" applyFont="1" applyAlignment="1">
      <alignment horizontal="right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49" fontId="6" fillId="0" borderId="0" xfId="0" applyNumberFormat="1" applyFont="1" applyAlignment="1">
      <alignment horizontal="left" vertical="center"/>
    </xf>
    <xf numFmtId="49" fontId="5" fillId="0" borderId="0" xfId="0" applyNumberFormat="1" applyFont="1" applyAlignment="1">
      <alignment horizontal="center" vertical="center"/>
    </xf>
    <xf numFmtId="0" fontId="7" fillId="0" borderId="0" xfId="0" applyFont="1" applyAlignment="1"/>
    <xf numFmtId="0" fontId="8" fillId="2" borderId="1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vertical="center"/>
    </xf>
    <xf numFmtId="0" fontId="9" fillId="2" borderId="2" xfId="0" applyFont="1" applyFill="1" applyBorder="1" applyAlignment="1">
      <alignment horizontal="right" vertical="center"/>
    </xf>
    <xf numFmtId="0" fontId="9" fillId="2" borderId="2" xfId="0" applyFont="1" applyFill="1" applyBorder="1" applyAlignment="1">
      <alignment vertical="center"/>
    </xf>
    <xf numFmtId="0" fontId="8" fillId="2" borderId="3" xfId="0" applyFont="1" applyFill="1" applyBorder="1" applyAlignment="1">
      <alignment vertical="center"/>
    </xf>
    <xf numFmtId="0" fontId="8" fillId="3" borderId="4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vertical="center"/>
    </xf>
    <xf numFmtId="0" fontId="9" fillId="3" borderId="5" xfId="0" applyFont="1" applyFill="1" applyBorder="1" applyAlignment="1">
      <alignment horizontal="right" vertical="center"/>
    </xf>
    <xf numFmtId="0" fontId="9" fillId="3" borderId="5" xfId="0" applyFont="1" applyFill="1" applyBorder="1" applyAlignment="1">
      <alignment vertical="center"/>
    </xf>
    <xf numFmtId="0" fontId="8" fillId="3" borderId="6" xfId="0" applyFont="1" applyFill="1" applyBorder="1" applyAlignment="1">
      <alignment vertical="center"/>
    </xf>
    <xf numFmtId="0" fontId="10" fillId="3" borderId="4" xfId="0" applyFont="1" applyFill="1" applyBorder="1" applyAlignment="1">
      <alignment horizontal="center" vertical="center"/>
    </xf>
    <xf numFmtId="0" fontId="10" fillId="3" borderId="5" xfId="0" applyFont="1" applyFill="1" applyBorder="1" applyAlignment="1">
      <alignment vertical="center"/>
    </xf>
    <xf numFmtId="0" fontId="11" fillId="3" borderId="5" xfId="0" applyFont="1" applyFill="1" applyBorder="1" applyAlignment="1">
      <alignment horizontal="right" vertical="center"/>
    </xf>
    <xf numFmtId="0" fontId="11" fillId="3" borderId="5" xfId="0" applyFont="1" applyFill="1" applyBorder="1" applyAlignment="1">
      <alignment vertical="center"/>
    </xf>
    <xf numFmtId="0" fontId="8" fillId="2" borderId="7" xfId="0" applyFont="1" applyFill="1" applyBorder="1" applyAlignment="1">
      <alignment horizontal="center" vertical="center"/>
    </xf>
    <xf numFmtId="0" fontId="8" fillId="2" borderId="8" xfId="0" applyFont="1" applyFill="1" applyBorder="1" applyAlignment="1">
      <alignment vertical="center"/>
    </xf>
    <xf numFmtId="0" fontId="9" fillId="2" borderId="8" xfId="0" applyFont="1" applyFill="1" applyBorder="1" applyAlignment="1">
      <alignment horizontal="right" vertical="center"/>
    </xf>
    <xf numFmtId="0" fontId="8" fillId="2" borderId="9" xfId="0" applyFont="1" applyFill="1" applyBorder="1" applyAlignment="1">
      <alignment vertical="center"/>
    </xf>
    <xf numFmtId="0" fontId="7" fillId="0" borderId="0" xfId="0" applyFont="1"/>
    <xf numFmtId="0" fontId="12" fillId="0" borderId="0" xfId="0" applyFont="1" applyAlignment="1">
      <alignment horizontal="center" vertical="center" wrapText="1"/>
    </xf>
    <xf numFmtId="0" fontId="13" fillId="0" borderId="0" xfId="0" applyFont="1" applyAlignment="1">
      <alignment vertical="center" wrapText="1"/>
    </xf>
    <xf numFmtId="0" fontId="14" fillId="0" borderId="0" xfId="0" applyFont="1" applyAlignment="1">
      <alignment horizontal="center" vertical="center" wrapText="1"/>
    </xf>
    <xf numFmtId="0" fontId="12" fillId="4" borderId="10" xfId="0" applyFont="1" applyFill="1" applyBorder="1" applyAlignment="1">
      <alignment horizontal="center" vertical="center" wrapText="1"/>
    </xf>
    <xf numFmtId="0" fontId="12" fillId="4" borderId="11" xfId="0" applyFont="1" applyFill="1" applyBorder="1" applyAlignment="1">
      <alignment horizontal="center" vertical="center" wrapText="1"/>
    </xf>
    <xf numFmtId="0" fontId="12" fillId="4" borderId="12" xfId="0" applyFont="1" applyFill="1" applyBorder="1" applyAlignment="1">
      <alignment horizontal="center" vertical="center" wrapText="1"/>
    </xf>
    <xf numFmtId="0" fontId="15" fillId="0" borderId="12" xfId="0" applyFont="1" applyBorder="1"/>
    <xf numFmtId="0" fontId="15" fillId="0" borderId="13" xfId="0" applyFont="1" applyBorder="1"/>
    <xf numFmtId="0" fontId="15" fillId="0" borderId="10" xfId="0" applyFont="1" applyBorder="1"/>
    <xf numFmtId="0" fontId="15" fillId="0" borderId="11" xfId="0" applyFont="1" applyBorder="1"/>
    <xf numFmtId="0" fontId="12" fillId="5" borderId="11" xfId="0" applyFont="1" applyFill="1" applyBorder="1" applyAlignment="1">
      <alignment horizontal="center" vertical="center" wrapText="1"/>
    </xf>
    <xf numFmtId="0" fontId="12" fillId="4" borderId="13" xfId="0" applyFont="1" applyFill="1" applyBorder="1" applyAlignment="1">
      <alignment horizontal="center" vertical="center" wrapText="1"/>
    </xf>
    <xf numFmtId="0" fontId="12" fillId="6" borderId="13" xfId="0" applyFont="1" applyFill="1" applyBorder="1" applyAlignment="1">
      <alignment horizontal="center" vertical="center" wrapText="1"/>
    </xf>
    <xf numFmtId="0" fontId="12" fillId="6" borderId="12" xfId="0" applyFont="1" applyFill="1" applyBorder="1" applyAlignment="1">
      <alignment horizontal="center" vertical="center" wrapText="1"/>
    </xf>
    <xf numFmtId="0" fontId="15" fillId="0" borderId="14" xfId="0" applyFont="1" applyBorder="1"/>
    <xf numFmtId="0" fontId="12" fillId="5" borderId="13" xfId="0" applyFont="1" applyFill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3" xfId="0" applyFont="1" applyBorder="1" applyAlignment="1">
      <alignment horizontal="center" vertical="center" wrapText="1"/>
    </xf>
    <xf numFmtId="3" fontId="13" fillId="0" borderId="13" xfId="0" applyNumberFormat="1" applyFont="1" applyBorder="1" applyAlignment="1">
      <alignment horizontal="center" vertical="center" wrapText="1"/>
    </xf>
    <xf numFmtId="3" fontId="12" fillId="6" borderId="13" xfId="0" applyNumberFormat="1" applyFont="1" applyFill="1" applyBorder="1" applyAlignment="1">
      <alignment horizontal="center" vertical="center" wrapText="1"/>
    </xf>
    <xf numFmtId="3" fontId="12" fillId="5" borderId="15" xfId="0" applyNumberFormat="1" applyFont="1" applyFill="1" applyBorder="1" applyAlignment="1">
      <alignment horizontal="center" vertical="center" wrapText="1"/>
    </xf>
    <xf numFmtId="3" fontId="12" fillId="5" borderId="13" xfId="0" applyNumberFormat="1" applyFont="1" applyFill="1" applyBorder="1" applyAlignment="1">
      <alignment horizontal="center" vertical="center" wrapText="1"/>
    </xf>
    <xf numFmtId="0" fontId="12" fillId="7" borderId="13" xfId="0" applyFont="1" applyFill="1" applyBorder="1" applyAlignment="1">
      <alignment horizontal="center" vertical="center" wrapText="1"/>
    </xf>
    <xf numFmtId="3" fontId="12" fillId="7" borderId="13" xfId="0" applyNumberFormat="1" applyFont="1" applyFill="1" applyBorder="1" applyAlignment="1">
      <alignment horizontal="center" vertical="center" wrapText="1"/>
    </xf>
    <xf numFmtId="3" fontId="12" fillId="7" borderId="13" xfId="0" applyNumberFormat="1" applyFont="1" applyFill="1" applyBorder="1" applyAlignment="1">
      <alignment horizontal="center" wrapText="1"/>
    </xf>
    <xf numFmtId="0" fontId="16" fillId="8" borderId="16" xfId="0" applyFont="1" applyFill="1" applyBorder="1" applyAlignment="1">
      <alignment horizontal="center" vertical="center" wrapText="1"/>
    </xf>
    <xf numFmtId="0" fontId="16" fillId="8" borderId="15" xfId="0" applyFont="1" applyFill="1" applyBorder="1" applyAlignment="1">
      <alignment horizontal="center" vertical="center" wrapText="1"/>
    </xf>
    <xf numFmtId="0" fontId="16" fillId="8" borderId="17" xfId="0" applyFont="1" applyFill="1" applyBorder="1" applyAlignment="1">
      <alignment horizontal="center" vertical="center" wrapText="1"/>
    </xf>
    <xf numFmtId="0" fontId="16" fillId="8" borderId="0" xfId="0" applyFont="1" applyFill="1" applyAlignment="1">
      <alignment horizontal="center" vertical="center" wrapText="1"/>
    </xf>
    <xf numFmtId="180" fontId="13" fillId="0" borderId="0" xfId="0" applyNumberFormat="1" applyFont="1" applyAlignment="1">
      <alignment vertical="center" wrapText="1"/>
    </xf>
    <xf numFmtId="0" fontId="13" fillId="0" borderId="0" xfId="0" applyFont="1" applyAlignment="1">
      <alignment horizontal="center" vertical="center" wrapText="1"/>
    </xf>
    <xf numFmtId="58" fontId="13" fillId="0" borderId="0" xfId="0" applyNumberFormat="1" applyFont="1" applyAlignment="1">
      <alignment vertical="center" wrapText="1"/>
    </xf>
    <xf numFmtId="0" fontId="13" fillId="0" borderId="0" xfId="0" applyFont="1" applyAlignment="1">
      <alignment vertical="center"/>
    </xf>
    <xf numFmtId="0" fontId="12" fillId="0" borderId="0" xfId="0" applyFont="1" applyAlignment="1">
      <alignment horizontal="center" wrapText="1"/>
    </xf>
    <xf numFmtId="0" fontId="13" fillId="0" borderId="0" xfId="0" applyFont="1" applyAlignment="1">
      <alignment wrapText="1"/>
    </xf>
    <xf numFmtId="0" fontId="14" fillId="0" borderId="0" xfId="0" applyFont="1" applyAlignment="1">
      <alignment horizontal="center" wrapText="1"/>
    </xf>
    <xf numFmtId="0" fontId="12" fillId="4" borderId="10" xfId="0" applyFont="1" applyFill="1" applyBorder="1" applyAlignment="1">
      <alignment horizontal="center" wrapText="1"/>
    </xf>
    <xf numFmtId="0" fontId="12" fillId="4" borderId="11" xfId="0" applyFont="1" applyFill="1" applyBorder="1" applyAlignment="1">
      <alignment horizontal="center" wrapText="1"/>
    </xf>
    <xf numFmtId="0" fontId="12" fillId="4" borderId="12" xfId="0" applyFont="1" applyFill="1" applyBorder="1" applyAlignment="1">
      <alignment horizontal="center" wrapText="1"/>
    </xf>
    <xf numFmtId="0" fontId="12" fillId="5" borderId="11" xfId="0" applyFont="1" applyFill="1" applyBorder="1" applyAlignment="1">
      <alignment horizontal="center" wrapText="1"/>
    </xf>
    <xf numFmtId="0" fontId="12" fillId="4" borderId="13" xfId="0" applyFont="1" applyFill="1" applyBorder="1" applyAlignment="1">
      <alignment horizontal="center" wrapText="1"/>
    </xf>
    <xf numFmtId="0" fontId="12" fillId="6" borderId="13" xfId="0" applyFont="1" applyFill="1" applyBorder="1" applyAlignment="1">
      <alignment horizontal="center" wrapText="1"/>
    </xf>
    <xf numFmtId="0" fontId="12" fillId="6" borderId="12" xfId="0" applyFont="1" applyFill="1" applyBorder="1" applyAlignment="1">
      <alignment horizontal="center" wrapText="1"/>
    </xf>
    <xf numFmtId="0" fontId="12" fillId="0" borderId="13" xfId="0" applyFont="1" applyBorder="1" applyAlignment="1">
      <alignment horizontal="center" wrapText="1"/>
    </xf>
    <xf numFmtId="3" fontId="12" fillId="6" borderId="13" xfId="0" applyNumberFormat="1" applyFont="1" applyFill="1" applyBorder="1" applyAlignment="1">
      <alignment horizontal="center" wrapText="1"/>
    </xf>
    <xf numFmtId="3" fontId="12" fillId="5" borderId="15" xfId="0" applyNumberFormat="1" applyFont="1" applyFill="1" applyBorder="1" applyAlignment="1">
      <alignment horizontal="center" wrapText="1"/>
    </xf>
    <xf numFmtId="3" fontId="12" fillId="5" borderId="13" xfId="0" applyNumberFormat="1" applyFont="1" applyFill="1" applyBorder="1" applyAlignment="1">
      <alignment horizontal="center" wrapText="1"/>
    </xf>
    <xf numFmtId="0" fontId="12" fillId="7" borderId="13" xfId="0" applyFont="1" applyFill="1" applyBorder="1" applyAlignment="1">
      <alignment horizontal="center" wrapText="1"/>
    </xf>
    <xf numFmtId="0" fontId="12" fillId="8" borderId="16" xfId="0" applyFont="1" applyFill="1" applyBorder="1" applyAlignment="1">
      <alignment horizontal="center" vertical="center" wrapText="1"/>
    </xf>
    <xf numFmtId="0" fontId="12" fillId="8" borderId="15" xfId="0" applyFont="1" applyFill="1" applyBorder="1" applyAlignment="1">
      <alignment horizontal="center" vertical="center" wrapText="1"/>
    </xf>
    <xf numFmtId="0" fontId="12" fillId="8" borderId="17" xfId="0" applyFont="1" applyFill="1" applyBorder="1" applyAlignment="1">
      <alignment horizontal="center" vertical="center" wrapText="1"/>
    </xf>
    <xf numFmtId="0" fontId="12" fillId="8" borderId="0" xfId="0" applyFont="1" applyFill="1" applyAlignment="1">
      <alignment horizontal="center" vertical="center" wrapText="1"/>
    </xf>
    <xf numFmtId="181" fontId="13" fillId="0" borderId="0" xfId="0" applyNumberFormat="1" applyFont="1" applyAlignment="1">
      <alignment vertical="center" wrapText="1"/>
    </xf>
    <xf numFmtId="0" fontId="12" fillId="4" borderId="0" xfId="0" applyFont="1" applyFill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19" fillId="0" borderId="0" xfId="0" applyFont="1" applyAlignment="1">
      <alignment horizontal="center" vertical="center"/>
    </xf>
    <xf numFmtId="3" fontId="12" fillId="0" borderId="0" xfId="0" applyNumberFormat="1" applyFont="1" applyAlignment="1">
      <alignment horizontal="center" vertical="center" wrapText="1"/>
    </xf>
    <xf numFmtId="0" fontId="12" fillId="8" borderId="17" xfId="0" applyFont="1" applyFill="1" applyBorder="1" applyAlignment="1">
      <alignment horizontal="left" vertical="center" wrapText="1"/>
    </xf>
    <xf numFmtId="0" fontId="20" fillId="8" borderId="16" xfId="0" applyFont="1" applyFill="1" applyBorder="1" applyAlignment="1">
      <alignment horizontal="center" wrapText="1"/>
    </xf>
    <xf numFmtId="0" fontId="20" fillId="8" borderId="15" xfId="0" applyFont="1" applyFill="1" applyBorder="1" applyAlignment="1">
      <alignment horizontal="center" wrapText="1"/>
    </xf>
    <xf numFmtId="0" fontId="20" fillId="8" borderId="17" xfId="0" applyFont="1" applyFill="1" applyBorder="1" applyAlignment="1">
      <alignment horizontal="center" wrapText="1"/>
    </xf>
    <xf numFmtId="0" fontId="4" fillId="0" borderId="0" xfId="0" applyFont="1" applyAlignment="1">
      <alignment horizontal="center"/>
    </xf>
    <xf numFmtId="0" fontId="20" fillId="8" borderId="16" xfId="0" applyFont="1" applyFill="1" applyBorder="1" applyAlignment="1">
      <alignment horizontal="left" vertical="center" wrapText="1"/>
    </xf>
    <xf numFmtId="0" fontId="20" fillId="8" borderId="15" xfId="0" applyFont="1" applyFill="1" applyBorder="1" applyAlignment="1">
      <alignment horizontal="center" vertical="center" wrapText="1"/>
    </xf>
    <xf numFmtId="0" fontId="20" fillId="8" borderId="15" xfId="0" applyFont="1" applyFill="1" applyBorder="1" applyAlignment="1">
      <alignment horizontal="left" vertical="center" wrapText="1"/>
    </xf>
    <xf numFmtId="0" fontId="20" fillId="8" borderId="17" xfId="0" applyFont="1" applyFill="1" applyBorder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/>
    </xf>
    <xf numFmtId="182" fontId="4" fillId="0" borderId="0" xfId="0" applyNumberFormat="1" applyFont="1" applyAlignment="1">
      <alignment horizontal="center"/>
    </xf>
    <xf numFmtId="58" fontId="4" fillId="0" borderId="0" xfId="0" applyNumberFormat="1" applyFont="1" applyAlignment="1">
      <alignment horizontal="center"/>
    </xf>
    <xf numFmtId="180" fontId="4" fillId="0" borderId="0" xfId="0" applyNumberFormat="1" applyFont="1" applyAlignment="1">
      <alignment horizontal="center"/>
    </xf>
    <xf numFmtId="181" fontId="4" fillId="0" borderId="0" xfId="0" applyNumberFormat="1" applyFont="1" applyAlignment="1">
      <alignment horizontal="center"/>
    </xf>
  </cellXfs>
  <cellStyles count="49">
    <cellStyle name="Normal" xfId="0" builtinId="0"/>
    <cellStyle name="Vírgula" xfId="1" builtinId="3"/>
    <cellStyle name="Moeda" xfId="2" builtinId="4"/>
    <cellStyle name="Percentagem" xfId="3" builtinId="5"/>
    <cellStyle name="Vírgula [0]" xfId="4" builtinId="6"/>
    <cellStyle name="Moeda [0]" xfId="5" builtinId="7"/>
    <cellStyle name="Hiperligação" xfId="6" builtinId="8"/>
    <cellStyle name="Hiperligação Visitada" xfId="7" builtinId="9"/>
    <cellStyle name="Nota" xfId="8" builtinId="10"/>
    <cellStyle name="Texto de Aviso" xfId="9" builtinId="11"/>
    <cellStyle name="Título" xfId="10" builtinId="15"/>
    <cellStyle name="Texto Explicativo" xfId="11" builtinId="53"/>
    <cellStyle name="Cabeçalho 1" xfId="12" builtinId="16"/>
    <cellStyle name="Cabeçalho 2" xfId="13" builtinId="17"/>
    <cellStyle name="Cabeçalho 3" xfId="14" builtinId="18"/>
    <cellStyle name="Cabeçalho 4" xfId="15" builtinId="19"/>
    <cellStyle name="Entrada" xfId="16" builtinId="20"/>
    <cellStyle name="Saída" xfId="17" builtinId="21"/>
    <cellStyle name="Cálculo" xfId="18" builtinId="22"/>
    <cellStyle name="Verificar Célula" xfId="19" builtinId="23"/>
    <cellStyle name="Célula Ligada" xfId="20" builtinId="24"/>
    <cellStyle name="Total" xfId="21" builtinId="25"/>
    <cellStyle name="Bom" xfId="22" builtinId="26"/>
    <cellStyle name="Mau" xfId="23" builtinId="27"/>
    <cellStyle name="Neutro" xfId="24" builtinId="28"/>
    <cellStyle name="Cor 1" xfId="25" builtinId="29"/>
    <cellStyle name="20% - Cor 1" xfId="26" builtinId="30"/>
    <cellStyle name="40% - Cor 1" xfId="27" builtinId="31"/>
    <cellStyle name="60% - Cor 1" xfId="28" builtinId="32"/>
    <cellStyle name="Cor 2" xfId="29" builtinId="33"/>
    <cellStyle name="20% - Cor 2" xfId="30" builtinId="34"/>
    <cellStyle name="40% - Cor 2" xfId="31" builtinId="35"/>
    <cellStyle name="60% - Cor 2" xfId="32" builtinId="36"/>
    <cellStyle name="Cor 3" xfId="33" builtinId="37"/>
    <cellStyle name="20% - Cor 3" xfId="34" builtinId="38"/>
    <cellStyle name="40% - Cor 3" xfId="35" builtinId="39"/>
    <cellStyle name="60% - Cor 3" xfId="36" builtinId="40"/>
    <cellStyle name="Cor 4" xfId="37" builtinId="41"/>
    <cellStyle name="20% - Cor 4" xfId="38" builtinId="42"/>
    <cellStyle name="40% - Cor 4" xfId="39" builtinId="43"/>
    <cellStyle name="60% - Cor 4" xfId="40" builtinId="44"/>
    <cellStyle name="Cor 5" xfId="41" builtinId="45"/>
    <cellStyle name="20% - Cor 5" xfId="42" builtinId="46"/>
    <cellStyle name="40% - Cor 5" xfId="43" builtinId="47"/>
    <cellStyle name="60% - Cor 5" xfId="44" builtinId="48"/>
    <cellStyle name="Cor 6" xfId="45" builtinId="49"/>
    <cellStyle name="20% - Cor 6" xfId="46" builtinId="50"/>
    <cellStyle name="40% - Cor 6" xfId="47" builtinId="51"/>
    <cellStyle name="60% - Cor 6" xfId="48" builtinId="52"/>
  </cellStyles>
  <dxfs count="228"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ill>
        <patternFill patternType="solid">
          <fgColor rgb="FFD9D9D9"/>
          <bgColor rgb="FFD9D9D9"/>
        </patternFill>
      </fill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ont>
        <name val="Calibri"/>
        <scheme val="minor"/>
        <charset val="134"/>
        <family val="0"/>
        <b val="0"/>
        <i val="0"/>
        <strike val="0"/>
        <u val="none"/>
        <sz val="10"/>
        <color rgb="FF000000"/>
      </font>
    </dxf>
    <dxf>
      <fill>
        <patternFill patternType="solid">
          <fgColor rgb="FFE0F7FA"/>
          <bgColor rgb="FFE0F7FA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4DD0E1"/>
          <bgColor rgb="FF4DD0E1"/>
        </patternFill>
      </fill>
    </dxf>
    <dxf>
      <fill>
        <patternFill patternType="solid">
          <fgColor rgb="FFE7F9EF"/>
          <bgColor rgb="FFE7F9EF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63D297"/>
          <bgColor rgb="FF63D297"/>
        </patternFill>
      </fill>
    </dxf>
    <dxf>
      <fill>
        <patternFill patternType="solid">
          <fgColor rgb="FFFEF8E3"/>
          <bgColor rgb="FFFEF8E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7CB4D"/>
          <bgColor rgb="FFF7CB4D"/>
        </patternFill>
      </fill>
    </dxf>
    <dxf>
      <fill>
        <patternFill patternType="solid">
          <fgColor rgb="FFFFE6DD"/>
          <bgColor rgb="FFFFE6DD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46524"/>
          <bgColor rgb="FFF46524"/>
        </patternFill>
      </fill>
    </dxf>
    <dxf>
      <fill>
        <patternFill patternType="solid">
          <fgColor rgb="FFE8F0FE"/>
          <bgColor rgb="FFE8F0FE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5B95F9"/>
          <bgColor rgb="FF5B95F9"/>
        </patternFill>
      </fill>
    </dxf>
    <dxf>
      <fill>
        <patternFill patternType="solid">
          <fgColor rgb="FFDDF2F0"/>
          <bgColor rgb="FFDDF2F0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26A69A"/>
          <bgColor rgb="FF26A69A"/>
        </patternFill>
      </fill>
    </dxf>
    <dxf>
      <fill>
        <patternFill patternType="solid">
          <fgColor rgb="FFEBEFF1"/>
          <bgColor rgb="FFEBEFF1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78909C"/>
          <bgColor rgb="FF78909C"/>
        </patternFill>
      </fill>
    </dxf>
    <dxf>
      <fill>
        <patternFill patternType="solid">
          <fgColor rgb="FFF6F8F9"/>
          <bgColor rgb="FFF6F8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356854"/>
          <bgColor rgb="FF356854"/>
        </patternFill>
      </fill>
    </dxf>
    <dxf>
      <border>
        <left style="thin">
          <color rgb="FF356854"/>
        </left>
        <right style="thin">
          <color rgb="FF356854"/>
        </right>
        <top style="thin">
          <color rgb="FF356854"/>
        </top>
        <bottom style="thin">
          <color rgb="FF356854"/>
        </bottom>
      </border>
    </dxf>
    <dxf>
      <fill>
        <patternFill patternType="solid">
          <fgColor rgb="FFF6F8F9"/>
          <bgColor rgb="FFF6F8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356854"/>
          <bgColor rgb="FF356854"/>
        </patternFill>
      </fill>
    </dxf>
    <dxf>
      <border>
        <left style="thin">
          <color rgb="FF356854"/>
        </left>
        <right style="thin">
          <color rgb="FF356854"/>
        </right>
        <top style="thin">
          <color rgb="FF356854"/>
        </top>
        <bottom style="thin">
          <color rgb="FF356854"/>
        </bottom>
      </border>
    </dxf>
  </dxfs>
  <tableStyles count="9">
    <tableStyle name="regional_01-style" pivot="0" count="3" xr9:uid="{3E6D11EC-2833-4109-888E-D819262F120E}">
      <tableStyleElement type="headerRow" dxfId="201"/>
      <tableStyleElement type="firstRowStripe" dxfId="200"/>
      <tableStyleElement type="secondRowStripe" dxfId="199"/>
    </tableStyle>
    <tableStyle name="regional_02-style" pivot="0" count="3" xr9:uid="{85C072E2-242C-40B7-952F-8495137A5462}">
      <tableStyleElement type="headerRow" dxfId="204"/>
      <tableStyleElement type="firstRowStripe" dxfId="203"/>
      <tableStyleElement type="secondRowStripe" dxfId="202"/>
    </tableStyle>
    <tableStyle name="regional_03-style" pivot="0" count="3" xr9:uid="{6DFF5FAD-0A48-4611-A617-2834BAB9273F}">
      <tableStyleElement type="headerRow" dxfId="207"/>
      <tableStyleElement type="firstRowStripe" dxfId="206"/>
      <tableStyleElement type="secondRowStripe" dxfId="205"/>
    </tableStyle>
    <tableStyle name="regional_04-style" pivot="0" count="3" xr9:uid="{88CFF622-3BE4-48FE-9764-78524D3790B9}">
      <tableStyleElement type="headerRow" dxfId="210"/>
      <tableStyleElement type="firstRowStripe" dxfId="209"/>
      <tableStyleElement type="secondRowStripe" dxfId="208"/>
    </tableStyle>
    <tableStyle name="regional_05-style" pivot="0" count="3" xr9:uid="{AD6C2F30-2504-44F5-877D-BA200911D1D0}">
      <tableStyleElement type="headerRow" dxfId="213"/>
      <tableStyleElement type="firstRowStripe" dxfId="212"/>
      <tableStyleElement type="secondRowStripe" dxfId="211"/>
    </tableStyle>
    <tableStyle name="regional_06-style" pivot="0" count="3" xr9:uid="{2F7063AD-68D5-4298-82A0-F11890D2A239}">
      <tableStyleElement type="headerRow" dxfId="216"/>
      <tableStyleElement type="firstRowStripe" dxfId="215"/>
      <tableStyleElement type="secondRowStripe" dxfId="214"/>
    </tableStyle>
    <tableStyle name="regional_07-style" pivot="0" count="3" xr9:uid="{5D3C2569-1AB5-46FE-B782-07FEAD771517}">
      <tableStyleElement type="headerRow" dxfId="219"/>
      <tableStyleElement type="firstRowStripe" dxfId="218"/>
      <tableStyleElement type="secondRowStripe" dxfId="217"/>
    </tableStyle>
    <tableStyle name="lista_id_2026-style" pivot="0" count="4" xr9:uid="{1B29B91E-2580-4A2E-AD97-3415B499E233}">
      <tableStyleElement type="wholeTable" dxfId="223"/>
      <tableStyleElement type="headerRow" dxfId="222"/>
      <tableStyleElement type="firstRowStripe" dxfId="221"/>
      <tableStyleElement type="secondRowStripe" dxfId="220"/>
    </tableStyle>
    <tableStyle name="lista_id-style" pivot="0" count="4" xr9:uid="{C840FF6C-07C2-453C-9D0A-906F1F84D1F3}">
      <tableStyleElement type="wholeTable" dxfId="227"/>
      <tableStyleElement type="headerRow" dxfId="226"/>
      <tableStyleElement type="firstRowStripe" dxfId="225"/>
      <tableStyleElement type="secondRowStripe" dxfId="224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7" Type="http://schemas.openxmlformats.org/officeDocument/2006/relationships/styles" Target="styles.xml"/><Relationship Id="rId16" Type="http://schemas.openxmlformats.org/officeDocument/2006/relationships/sharedStrings" Target="sharedStrings.xml"/><Relationship Id="rId15" Type="http://schemas.openxmlformats.org/officeDocument/2006/relationships/theme" Target="theme/theme1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1" name="Table_1" displayName="Table_1" ref="A24:R70" headerRowCount="0">
  <tableColumns count="18">
    <tableColumn id="1" name="Column1" dataDxfId="0"/>
    <tableColumn id="2" name="Column2" dataDxfId="1"/>
    <tableColumn id="3" name="Column3" dataDxfId="2"/>
    <tableColumn id="4" name="Column4" dataDxfId="3"/>
    <tableColumn id="5" name="Column5" dataDxfId="4"/>
    <tableColumn id="6" name="Column6" dataDxfId="5"/>
    <tableColumn id="7" name="Column7" dataDxfId="6"/>
    <tableColumn id="8" name="Column8" dataDxfId="7"/>
    <tableColumn id="9" name="Column9" dataDxfId="8"/>
    <tableColumn id="10" name="Column10" dataDxfId="9"/>
    <tableColumn id="11" name="Column11" dataDxfId="10"/>
    <tableColumn id="12" name="Column12" dataDxfId="11"/>
    <tableColumn id="13" name="Column13" dataDxfId="12"/>
    <tableColumn id="14" name="Column14" dataDxfId="13"/>
    <tableColumn id="15" name="Column15" dataDxfId="14"/>
    <tableColumn id="16" name="Column16" dataDxfId="15"/>
    <tableColumn id="17" name="Column17" dataDxfId="16"/>
    <tableColumn id="18" name="Column18" dataDxfId="17"/>
  </tableColumns>
  <tableStyleInfo name="regional_01-style" showFirstColumn="1" showLastColumn="1" showRowStripes="1" showColumnStripes="0"/>
</table>
</file>

<file path=xl/tables/table2.xml><?xml version="1.0" encoding="utf-8"?>
<table xmlns="http://schemas.openxmlformats.org/spreadsheetml/2006/main" id="2" name="Table_2" displayName="Table_2" ref="A20:Y41" headerRowCount="0">
  <tableColumns count="25">
    <tableColumn id="1" name="Column1" dataDxfId="19"/>
    <tableColumn id="2" name="Column2" dataDxfId="20"/>
    <tableColumn id="3" name="Column3" dataDxfId="21"/>
    <tableColumn id="4" name="Column4" dataDxfId="22"/>
    <tableColumn id="5" name="Column5" dataDxfId="23"/>
    <tableColumn id="6" name="Column6" dataDxfId="24"/>
    <tableColumn id="7" name="Column7" dataDxfId="25"/>
    <tableColumn id="8" name="Column8" dataDxfId="26"/>
    <tableColumn id="9" name="Column9" dataDxfId="27"/>
    <tableColumn id="10" name="Column10" dataDxfId="28"/>
    <tableColumn id="11" name="Column11" dataDxfId="29"/>
    <tableColumn id="12" name="Column12" dataDxfId="30"/>
    <tableColumn id="13" name="Column13" dataDxfId="31"/>
    <tableColumn id="14" name="Column14" dataDxfId="32"/>
    <tableColumn id="15" name="Column15" dataDxfId="33"/>
    <tableColumn id="16" name="Column16" dataDxfId="34"/>
    <tableColumn id="17" name="Column17" dataDxfId="35"/>
    <tableColumn id="18" name="Column18" dataDxfId="36"/>
    <tableColumn id="19" name="Column19" dataDxfId="37"/>
    <tableColumn id="20" name="Column20" dataDxfId="38"/>
    <tableColumn id="21" name="Column21" dataDxfId="39"/>
    <tableColumn id="22" name="Column22" dataDxfId="40"/>
    <tableColumn id="23" name="Column23" dataDxfId="41"/>
    <tableColumn id="24" name="Column24" dataDxfId="42"/>
    <tableColumn id="25" name="Column25" dataDxfId="43"/>
  </tableColumns>
  <tableStyleInfo name="regional_02-style" showFirstColumn="1" showLastColumn="1" showRowStripes="1" showColumnStripes="0"/>
</table>
</file>

<file path=xl/tables/table3.xml><?xml version="1.0" encoding="utf-8"?>
<table xmlns="http://schemas.openxmlformats.org/spreadsheetml/2006/main" id="3" name="Table_3" displayName="Table_3" ref="A20:X37" headerRowCount="0">
  <tableColumns count="24">
    <tableColumn id="1" name="Column1" dataDxfId="44"/>
    <tableColumn id="2" name="Column2" dataDxfId="45"/>
    <tableColumn id="3" name="Column3" dataDxfId="46"/>
    <tableColumn id="4" name="Column4" dataDxfId="47"/>
    <tableColumn id="5" name="Column5" dataDxfId="48"/>
    <tableColumn id="6" name="Column6" dataDxfId="49"/>
    <tableColumn id="7" name="Column7" dataDxfId="50"/>
    <tableColumn id="8" name="Column8" dataDxfId="51"/>
    <tableColumn id="9" name="Column9" dataDxfId="52"/>
    <tableColumn id="10" name="Column10" dataDxfId="53"/>
    <tableColumn id="11" name="Column11" dataDxfId="54"/>
    <tableColumn id="12" name="Column12" dataDxfId="55"/>
    <tableColumn id="13" name="Column13" dataDxfId="56"/>
    <tableColumn id="14" name="Column14" dataDxfId="57"/>
    <tableColumn id="15" name="Column15" dataDxfId="58"/>
    <tableColumn id="16" name="Column16" dataDxfId="59"/>
    <tableColumn id="17" name="Column17" dataDxfId="60"/>
    <tableColumn id="18" name="Column18" dataDxfId="61"/>
    <tableColumn id="19" name="Column19" dataDxfId="62"/>
    <tableColumn id="20" name="Column20" dataDxfId="63"/>
    <tableColumn id="21" name="Column21" dataDxfId="64"/>
    <tableColumn id="22" name="Column22" dataDxfId="65"/>
    <tableColumn id="23" name="Column23" dataDxfId="66"/>
    <tableColumn id="24" name="Column24" dataDxfId="67"/>
  </tableColumns>
  <tableStyleInfo name="regional_03-style" showFirstColumn="1" showLastColumn="1" showRowStripes="1" showColumnStripes="0"/>
</table>
</file>

<file path=xl/tables/table4.xml><?xml version="1.0" encoding="utf-8"?>
<table xmlns="http://schemas.openxmlformats.org/spreadsheetml/2006/main" id="4" name="Table_4" displayName="Table_4" ref="A16:X46" headerRowCount="0">
  <tableColumns count="24">
    <tableColumn id="1" name="Column1" dataDxfId="68"/>
    <tableColumn id="2" name="Column2" dataDxfId="69"/>
    <tableColumn id="3" name="Column3" dataDxfId="70"/>
    <tableColumn id="4" name="Column4" dataDxfId="71"/>
    <tableColumn id="5" name="Column5" dataDxfId="72"/>
    <tableColumn id="6" name="Column6" dataDxfId="73"/>
    <tableColumn id="7" name="Column7" dataDxfId="74"/>
    <tableColumn id="8" name="Column8" dataDxfId="75"/>
    <tableColumn id="9" name="Column9" dataDxfId="76"/>
    <tableColumn id="10" name="Column10" dataDxfId="77"/>
    <tableColumn id="11" name="Column11" dataDxfId="78"/>
    <tableColumn id="12" name="Column12" dataDxfId="79"/>
    <tableColumn id="13" name="Column13" dataDxfId="80"/>
    <tableColumn id="14" name="Column14" dataDxfId="81"/>
    <tableColumn id="15" name="Column15" dataDxfId="82"/>
    <tableColumn id="16" name="Column16" dataDxfId="83"/>
    <tableColumn id="17" name="Column17" dataDxfId="84"/>
    <tableColumn id="18" name="Column18" dataDxfId="85"/>
    <tableColumn id="19" name="Column19" dataDxfId="86"/>
    <tableColumn id="20" name="Column20" dataDxfId="87"/>
    <tableColumn id="21" name="Column21" dataDxfId="88"/>
    <tableColumn id="22" name="Column22" dataDxfId="89"/>
    <tableColumn id="23" name="Column23" dataDxfId="90"/>
    <tableColumn id="24" name="Column24" dataDxfId="91"/>
  </tableColumns>
  <tableStyleInfo name="regional_04-style" showFirstColumn="1" showLastColumn="1" showRowStripes="1" showColumnStripes="0"/>
</table>
</file>

<file path=xl/tables/table5.xml><?xml version="1.0" encoding="utf-8"?>
<table xmlns="http://schemas.openxmlformats.org/spreadsheetml/2006/main" id="5" name="Table_5" displayName="Table_5" ref="A23:X122" headerRowCount="0">
  <tableColumns count="24">
    <tableColumn id="1" name="Column1" dataDxfId="92"/>
    <tableColumn id="2" name="Column2" dataDxfId="93"/>
    <tableColumn id="3" name="Column3" dataDxfId="94"/>
    <tableColumn id="4" name="Column4" dataDxfId="95"/>
    <tableColumn id="5" name="Column5" dataDxfId="96"/>
    <tableColumn id="6" name="Column6" dataDxfId="97"/>
    <tableColumn id="7" name="Column7" dataDxfId="98"/>
    <tableColumn id="8" name="Column8" dataDxfId="99"/>
    <tableColumn id="9" name="Column9" dataDxfId="100"/>
    <tableColumn id="10" name="Column10" dataDxfId="101"/>
    <tableColumn id="11" name="Column11" dataDxfId="102"/>
    <tableColumn id="12" name="Column12" dataDxfId="103"/>
    <tableColumn id="13" name="Column13" dataDxfId="104"/>
    <tableColumn id="14" name="Column14" dataDxfId="105"/>
    <tableColumn id="15" name="Column15" dataDxfId="106"/>
    <tableColumn id="16" name="Column16" dataDxfId="107"/>
    <tableColumn id="17" name="Column17" dataDxfId="108"/>
    <tableColumn id="18" name="Column18" dataDxfId="109"/>
    <tableColumn id="19" name="Column19" dataDxfId="110"/>
    <tableColumn id="20" name="Column20" dataDxfId="111"/>
    <tableColumn id="21" name="Column21" dataDxfId="112"/>
    <tableColumn id="22" name="Column22" dataDxfId="113"/>
    <tableColumn id="23" name="Column23" dataDxfId="114"/>
    <tableColumn id="24" name="Column24" dataDxfId="115"/>
  </tableColumns>
  <tableStyleInfo name="regional_05-style" showFirstColumn="1" showLastColumn="1" showRowStripes="1" showColumnStripes="0"/>
</table>
</file>

<file path=xl/tables/table6.xml><?xml version="1.0" encoding="utf-8"?>
<table xmlns="http://schemas.openxmlformats.org/spreadsheetml/2006/main" id="6" name="Table_6" displayName="Table_6" ref="A25:X58" headerRowCount="0">
  <tableColumns count="24">
    <tableColumn id="1" name="Column1" dataDxfId="116"/>
    <tableColumn id="2" name="Column2" dataDxfId="117"/>
    <tableColumn id="3" name="Column3" dataDxfId="118"/>
    <tableColumn id="4" name="Column4" dataDxfId="119"/>
    <tableColumn id="5" name="Column5" dataDxfId="120"/>
    <tableColumn id="6" name="Column6" dataDxfId="121"/>
    <tableColumn id="7" name="Column7" dataDxfId="122"/>
    <tableColumn id="8" name="Column8" dataDxfId="123"/>
    <tableColumn id="9" name="Column9" dataDxfId="124"/>
    <tableColumn id="10" name="Column10" dataDxfId="125"/>
    <tableColumn id="11" name="Column11" dataDxfId="126"/>
    <tableColumn id="12" name="Column12" dataDxfId="127"/>
    <tableColumn id="13" name="Column13" dataDxfId="128"/>
    <tableColumn id="14" name="Column14" dataDxfId="129"/>
    <tableColumn id="15" name="Column15" dataDxfId="130"/>
    <tableColumn id="16" name="Column16" dataDxfId="131"/>
    <tableColumn id="17" name="Column17" dataDxfId="132"/>
    <tableColumn id="18" name="Column18" dataDxfId="133"/>
    <tableColumn id="19" name="Column19" dataDxfId="134"/>
    <tableColumn id="20" name="Column20" dataDxfId="135"/>
    <tableColumn id="21" name="Column21" dataDxfId="136"/>
    <tableColumn id="22" name="Column22" dataDxfId="137"/>
    <tableColumn id="23" name="Column23" dataDxfId="138"/>
    <tableColumn id="24" name="Column24" dataDxfId="139"/>
  </tableColumns>
  <tableStyleInfo name="regional_06-style" showFirstColumn="1" showLastColumn="1" showRowStripes="1" showColumnStripes="0"/>
</table>
</file>

<file path=xl/tables/table7.xml><?xml version="1.0" encoding="utf-8"?>
<table xmlns="http://schemas.openxmlformats.org/spreadsheetml/2006/main" id="7" name="Table_7" displayName="Table_7" ref="A25:X68" headerRowCount="0">
  <tableColumns count="24">
    <tableColumn id="1" name="Column1" dataDxfId="140"/>
    <tableColumn id="2" name="Column2" dataDxfId="141"/>
    <tableColumn id="3" name="Column3" dataDxfId="142"/>
    <tableColumn id="4" name="Column4" dataDxfId="143"/>
    <tableColumn id="5" name="Column5" dataDxfId="144"/>
    <tableColumn id="6" name="Column6" dataDxfId="145"/>
    <tableColumn id="7" name="Column7" dataDxfId="146"/>
    <tableColumn id="8" name="Column8" dataDxfId="147"/>
    <tableColumn id="9" name="Column9" dataDxfId="148"/>
    <tableColumn id="10" name="Column10" dataDxfId="149"/>
    <tableColumn id="11" name="Column11" dataDxfId="150"/>
    <tableColumn id="12" name="Column12" dataDxfId="151"/>
    <tableColumn id="13" name="Column13" dataDxfId="152"/>
    <tableColumn id="14" name="Column14" dataDxfId="153"/>
    <tableColumn id="15" name="Column15" dataDxfId="154"/>
    <tableColumn id="16" name="Column16" dataDxfId="155"/>
    <tableColumn id="17" name="Column17" dataDxfId="156"/>
    <tableColumn id="18" name="Column18" dataDxfId="157"/>
    <tableColumn id="19" name="Column19" dataDxfId="158"/>
    <tableColumn id="20" name="Column20" dataDxfId="159"/>
    <tableColumn id="21" name="Column21" dataDxfId="160"/>
    <tableColumn id="22" name="Column22" dataDxfId="161"/>
    <tableColumn id="23" name="Column23" dataDxfId="162"/>
    <tableColumn id="24" name="Column24" dataDxfId="163"/>
  </tableColumns>
  <tableStyleInfo name="regional_07-style" showFirstColumn="1" showLastColumn="1" showRowStripes="1" showColumnStripes="0"/>
</table>
</file>

<file path=xl/tables/table8.xml><?xml version="1.0" encoding="utf-8"?>
<table xmlns="http://schemas.openxmlformats.org/spreadsheetml/2006/main" id="8" name="Tabela_ID_2026" displayName="Tabela_ID_2026" ref="A1:I152">
  <tableColumns count="9">
    <tableColumn id="1" name="QTD" dataDxfId="164"/>
    <tableColumn id="2" name="REGIONAL" dataDxfId="165"/>
    <tableColumn id="3" name="INEP" dataDxfId="166"/>
    <tableColumn id="4" name="ESCOLA" dataDxfId="167"/>
    <tableColumn id="5" name="ID" dataDxfId="168"/>
    <tableColumn id="6" name="URL" dataDxfId="169"/>
    <tableColumn id="7" name="NOME_PONTO_ID" dataDxfId="170"/>
    <tableColumn id="8" name="LOCAL" dataDxfId="171"/>
    <tableColumn id="9" name="TURNO" dataDxfId="172"/>
  </tableColumns>
  <tableStyleInfo name="lista_id_2026-style" showFirstColumn="1" showLastColumn="1" showRowStripes="1" showColumnStripes="0"/>
</table>
</file>

<file path=xl/tables/table9.xml><?xml version="1.0" encoding="utf-8"?>
<table xmlns="http://schemas.openxmlformats.org/spreadsheetml/2006/main" id="9" name="Tabela_2" displayName="Tabela_2" ref="A1:Z1000">
  <tableColumns count="26">
    <tableColumn id="1" name="QTD" dataDxfId="173"/>
    <tableColumn id="2" name="REGIONAL" dataDxfId="174"/>
    <tableColumn id="3" name="ESCOLA" dataDxfId="175"/>
    <tableColumn id="4" name="NOME ESCOLA PONTO ID" dataDxfId="176"/>
    <tableColumn id="5" name="ID" dataDxfId="177"/>
    <tableColumn id="6" name="REGIONAL 2" dataDxfId="178"/>
    <tableColumn id="7" name="Escola2" dataDxfId="179"/>
    <tableColumn id="8" name="Coluna 1" dataDxfId="180"/>
    <tableColumn id="9" name="Coluna 2" dataDxfId="181"/>
    <tableColumn id="10" name="Coluna 3" dataDxfId="182"/>
    <tableColumn id="11" name="Coluna 4" dataDxfId="183"/>
    <tableColumn id="12" name="Coluna 5" dataDxfId="184"/>
    <tableColumn id="13" name="Coluna 6" dataDxfId="185"/>
    <tableColumn id="14" name="Coluna 7" dataDxfId="186"/>
    <tableColumn id="15" name="Coluna 8" dataDxfId="187"/>
    <tableColumn id="16" name="Coluna 9" dataDxfId="188"/>
    <tableColumn id="17" name="Coluna 10" dataDxfId="189"/>
    <tableColumn id="18" name="Coluna 11" dataDxfId="190"/>
    <tableColumn id="19" name="Coluna 12" dataDxfId="191"/>
    <tableColumn id="20" name="Coluna 13" dataDxfId="192"/>
    <tableColumn id="21" name="Coluna 14" dataDxfId="193"/>
    <tableColumn id="22" name="Coluna 15" dataDxfId="194"/>
    <tableColumn id="23" name="Coluna 16" dataDxfId="195"/>
    <tableColumn id="24" name="Coluna 17" dataDxfId="196"/>
    <tableColumn id="25" name="Coluna 18" dataDxfId="197"/>
    <tableColumn id="26" name="Coluna 19" dataDxfId="198"/>
  </tableColumns>
  <tableStyleInfo name="lista_id-style" showFirstColumn="1" showLastColumn="1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C1099"/>
  <sheetViews>
    <sheetView workbookViewId="0">
      <selection activeCell="A1" sqref="A1"/>
    </sheetView>
  </sheetViews>
  <sheetFormatPr defaultColWidth="14.43" defaultRowHeight="15" customHeight="1"/>
  <cols>
    <col min="1" max="1" width="2.86" customWidth="1"/>
    <col min="2" max="2" width="10.86" customWidth="1"/>
    <col min="3" max="3" width="50.57" customWidth="1"/>
    <col min="4" max="4" width="13.29" customWidth="1"/>
    <col min="5" max="5" width="14.57" customWidth="1"/>
    <col min="6" max="6" width="7.14" customWidth="1"/>
    <col min="7" max="7" width="10" customWidth="1"/>
    <col min="8" max="8" width="11.71" customWidth="1"/>
    <col min="9" max="9" width="17.57" customWidth="1"/>
    <col min="10" max="10" width="50.71" customWidth="1"/>
    <col min="11" max="11" width="13.29" customWidth="1"/>
    <col min="12" max="12" width="20" customWidth="1"/>
    <col min="13" max="13" width="14" customWidth="1"/>
    <col min="14" max="14" width="31.29" customWidth="1"/>
    <col min="15" max="15" width="30.86" customWidth="1"/>
  </cols>
  <sheetData>
    <row r="1" ht="13" spans="1:29">
      <c r="A1" s="95" t="s">
        <v>0</v>
      </c>
      <c r="B1" s="95" t="s">
        <v>1</v>
      </c>
      <c r="C1" s="102" t="s">
        <v>2</v>
      </c>
      <c r="D1" s="95" t="s">
        <v>3</v>
      </c>
      <c r="E1" s="95" t="s">
        <v>4</v>
      </c>
      <c r="F1" s="95" t="s">
        <v>5</v>
      </c>
      <c r="G1" s="95" t="s">
        <v>6</v>
      </c>
      <c r="H1" s="95" t="s">
        <v>7</v>
      </c>
      <c r="I1" s="95" t="s">
        <v>8</v>
      </c>
      <c r="J1" s="95" t="s">
        <v>9</v>
      </c>
      <c r="K1" s="95" t="s">
        <v>10</v>
      </c>
      <c r="L1" s="95" t="s">
        <v>11</v>
      </c>
      <c r="M1" s="95" t="s">
        <v>12</v>
      </c>
      <c r="N1" s="95" t="s">
        <v>13</v>
      </c>
      <c r="O1" s="95"/>
      <c r="P1" s="95"/>
      <c r="Q1" s="95"/>
      <c r="R1" s="95"/>
      <c r="S1" s="95"/>
      <c r="T1" s="95"/>
      <c r="U1" s="95"/>
      <c r="V1" s="95"/>
      <c r="W1" s="95"/>
      <c r="X1" s="95"/>
      <c r="Y1" s="95"/>
      <c r="Z1" s="95"/>
      <c r="AA1" s="95"/>
      <c r="AB1" s="95"/>
      <c r="AC1" s="95"/>
    </row>
    <row r="2" ht="13" spans="1:29">
      <c r="A2" s="95"/>
      <c r="B2" s="95" t="str">
        <f>VLOOKUP(C2,lista_id!$D$2:$F$152,3,0)</f>
        <v>REGIONAL 7</v>
      </c>
      <c r="C2" s="102" t="str">
        <f>IFERROR(__xludf.DUMMYFUNCTION("QUERY(IMPORTRANGE(""1cnNZGLNEwy7HEptORgAsDAcXP-cmAAdtNe4Bt1bX-Uw"",""CandidatosFilaDeEspera!A2:N""), ""SELECT * "")"),"CEMEI DR. PAULO MENDES")</f>
        <v>CEMEI DR. PAULO MENDES</v>
      </c>
      <c r="D2" s="95" t="str">
        <f>IFERROR(__xludf.DUMMYFUNCTION("""COMPUTED_VALUE"""),"INFANTIL 1")</f>
        <v>INFANTIL 1</v>
      </c>
      <c r="E2" s="95" t="str">
        <f>IFERROR(__xludf.DUMMYFUNCTION("""COMPUTED_VALUE"""),"Integral")</f>
        <v>Integral</v>
      </c>
      <c r="F2" s="95" t="str">
        <f>IFERROR(__xludf.DUMMYFUNCTION("""COMPUTED_VALUE"""),"Comum")</f>
        <v>Comum</v>
      </c>
      <c r="G2" s="95" t="str">
        <f>IFERROR(__xludf.DUMMYFUNCTION("""COMPUTED_VALUE"""),"1")</f>
        <v>1</v>
      </c>
      <c r="H2" s="95" t="str">
        <f>IFERROR(__xludf.DUMMYFUNCTION("""COMPUTED_VALUE"""),"26032971417")</f>
        <v>26032971417</v>
      </c>
      <c r="I2" s="103" t="str">
        <f>IFERROR(__xludf.DUMMYFUNCTION("""COMPUTED_VALUE"""),"24/03/2026 13:31:53")</f>
        <v>24/03/2026 13:31:53</v>
      </c>
      <c r="J2" s="95" t="str">
        <f>IFERROR(__xludf.DUMMYFUNCTION("""COMPUTED_VALUE"""),"MARIA EDUARDA SANTANA FELIX DA SILVA")</f>
        <v>MARIA EDUARDA SANTANA FELIX DA SILVA</v>
      </c>
      <c r="K2" s="95" t="str">
        <f>IFERROR(__xludf.DUMMYFUNCTION("""COMPUTED_VALUE"""),"004.110.684-90")</f>
        <v>004.110.684-90</v>
      </c>
      <c r="L2" s="104" t="str">
        <f>IFERROR(__xludf.DUMMYFUNCTION("""COMPUTED_VALUE"""),"09/06/2024")</f>
        <v>09/06/2024</v>
      </c>
      <c r="M2" s="104"/>
      <c r="N2" s="95" t="str">
        <f>IFERROR(__xludf.DUMMYFUNCTION("""COMPUTED_VALUE"""),"0")</f>
        <v>0</v>
      </c>
      <c r="O2" s="95"/>
      <c r="P2" s="95"/>
      <c r="Q2" s="95"/>
      <c r="R2" s="95"/>
      <c r="S2" s="95"/>
      <c r="T2" s="95"/>
      <c r="U2" s="95"/>
      <c r="V2" s="95"/>
      <c r="W2" s="95"/>
      <c r="X2" s="95"/>
      <c r="Y2" s="95"/>
      <c r="Z2" s="95"/>
      <c r="AA2" s="95"/>
      <c r="AB2" s="95"/>
      <c r="AC2" s="95"/>
    </row>
    <row r="3" ht="13" spans="1:29">
      <c r="A3" s="95"/>
      <c r="B3" s="95" t="str">
        <f>VLOOKUP(C3,lista_id!$D$2:$F$152,3,0)</f>
        <v>REGIONAL 7</v>
      </c>
      <c r="C3" s="102" t="str">
        <f>IFERROR(__xludf.DUMMYFUNCTION("""COMPUTED_VALUE"""),"CEMEI DR. PAULO MENDES")</f>
        <v>CEMEI DR. PAULO MENDES</v>
      </c>
      <c r="D3" s="95" t="str">
        <f>IFERROR(__xludf.DUMMYFUNCTION("""COMPUTED_VALUE"""),"INFANTIL 1")</f>
        <v>INFANTIL 1</v>
      </c>
      <c r="E3" s="95" t="str">
        <f>IFERROR(__xludf.DUMMYFUNCTION("""COMPUTED_VALUE"""),"Integral")</f>
        <v>Integral</v>
      </c>
      <c r="F3" s="95" t="str">
        <f>IFERROR(__xludf.DUMMYFUNCTION("""COMPUTED_VALUE"""),"Comum")</f>
        <v>Comum</v>
      </c>
      <c r="G3" s="95" t="str">
        <f>IFERROR(__xludf.DUMMYFUNCTION("""COMPUTED_VALUE"""),"2")</f>
        <v>2</v>
      </c>
      <c r="H3" s="95" t="str">
        <f>IFERROR(__xludf.DUMMYFUNCTION("""COMPUTED_VALUE"""),"26032365428")</f>
        <v>26032365428</v>
      </c>
      <c r="I3" s="103" t="str">
        <f>IFERROR(__xludf.DUMMYFUNCTION("""COMPUTED_VALUE"""),"27/03/2026 12:51:51")</f>
        <v>27/03/2026 12:51:51</v>
      </c>
      <c r="J3" s="95" t="str">
        <f>IFERROR(__xludf.DUMMYFUNCTION("""COMPUTED_VALUE"""),"OLIVER BENJAMIN DA SILVA LIMA")</f>
        <v>OLIVER BENJAMIN DA SILVA LIMA</v>
      </c>
      <c r="K3" s="95" t="str">
        <f>IFERROR(__xludf.DUMMYFUNCTION("""COMPUTED_VALUE"""),"022.780.734-00")</f>
        <v>022.780.734-00</v>
      </c>
      <c r="L3" s="104" t="str">
        <f>IFERROR(__xludf.DUMMYFUNCTION("""COMPUTED_VALUE"""),"13/11/2025")</f>
        <v>13/11/2025</v>
      </c>
      <c r="M3" s="104"/>
      <c r="N3" s="95" t="str">
        <f>IFERROR(__xludf.DUMMYFUNCTION("""COMPUTED_VALUE"""),"0")</f>
        <v>0</v>
      </c>
      <c r="O3" s="95"/>
      <c r="P3" s="95"/>
      <c r="Q3" s="95"/>
      <c r="R3" s="95"/>
      <c r="S3" s="95"/>
      <c r="T3" s="95"/>
      <c r="U3" s="95"/>
      <c r="V3" s="95"/>
      <c r="W3" s="95"/>
      <c r="X3" s="95"/>
      <c r="Y3" s="95"/>
      <c r="Z3" s="95"/>
      <c r="AA3" s="95"/>
      <c r="AB3" s="95"/>
      <c r="AC3" s="95"/>
    </row>
    <row r="4" ht="13" spans="1:29">
      <c r="A4" s="95"/>
      <c r="B4" s="95" t="str">
        <f>VLOOKUP(C4,lista_id!$D$2:$F$152,3,0)</f>
        <v>REGIONAL 7</v>
      </c>
      <c r="C4" s="102" t="str">
        <f>IFERROR(__xludf.DUMMYFUNCTION("""COMPUTED_VALUE"""),"CEMEI DR. PAULO MENDES")</f>
        <v>CEMEI DR. PAULO MENDES</v>
      </c>
      <c r="D4" s="95" t="str">
        <f>IFERROR(__xludf.DUMMYFUNCTION("""COMPUTED_VALUE"""),"INFANTIL 1")</f>
        <v>INFANTIL 1</v>
      </c>
      <c r="E4" s="95" t="str">
        <f>IFERROR(__xludf.DUMMYFUNCTION("""COMPUTED_VALUE"""),"Integral")</f>
        <v>Integral</v>
      </c>
      <c r="F4" s="95" t="str">
        <f>IFERROR(__xludf.DUMMYFUNCTION("""COMPUTED_VALUE"""),"Comum")</f>
        <v>Comum</v>
      </c>
      <c r="G4" s="95" t="str">
        <f>IFERROR(__xludf.DUMMYFUNCTION("""COMPUTED_VALUE"""),"3")</f>
        <v>3</v>
      </c>
      <c r="H4" s="95" t="str">
        <f>IFERROR(__xludf.DUMMYFUNCTION("""COMPUTED_VALUE"""),"26052086599")</f>
        <v>26052086599</v>
      </c>
      <c r="I4" s="103" t="str">
        <f>IFERROR(__xludf.DUMMYFUNCTION("""COMPUTED_VALUE"""),"21/05/2026 11:32:39")</f>
        <v>21/05/2026 11:32:39</v>
      </c>
      <c r="J4" s="95" t="str">
        <f>IFERROR(__xludf.DUMMYFUNCTION("""COMPUTED_VALUE"""),"KAUÊ HENRIQUE DE ARAÚJO SILVA")</f>
        <v>KAUÊ HENRIQUE DE ARAÚJO SILVA</v>
      </c>
      <c r="K4" s="95" t="str">
        <f>IFERROR(__xludf.DUMMYFUNCTION("""COMPUTED_VALUE"""),"002.527.454-69")</f>
        <v>002.527.454-69</v>
      </c>
      <c r="L4" s="104" t="str">
        <f>IFERROR(__xludf.DUMMYFUNCTION("""COMPUTED_VALUE"""),"01/04/2024")</f>
        <v>01/04/2024</v>
      </c>
      <c r="M4" s="104"/>
      <c r="N4" s="95" t="str">
        <f>IFERROR(__xludf.DUMMYFUNCTION("""COMPUTED_VALUE"""),"0")</f>
        <v>0</v>
      </c>
      <c r="O4" s="95"/>
      <c r="P4" s="95"/>
      <c r="Q4" s="95"/>
      <c r="R4" s="95"/>
      <c r="S4" s="95"/>
      <c r="T4" s="95"/>
      <c r="U4" s="95"/>
      <c r="V4" s="95"/>
      <c r="W4" s="95"/>
      <c r="X4" s="95"/>
      <c r="Y4" s="95"/>
      <c r="Z4" s="95"/>
      <c r="AA4" s="95"/>
      <c r="AB4" s="95"/>
      <c r="AC4" s="95"/>
    </row>
    <row r="5" ht="13" spans="1:29">
      <c r="A5" s="95"/>
      <c r="B5" s="95" t="str">
        <f>VLOOKUP(C5,lista_id!$D$2:$F$152,3,0)</f>
        <v>REGIONAL 7</v>
      </c>
      <c r="C5" s="102" t="str">
        <f>IFERROR(__xludf.DUMMYFUNCTION("""COMPUTED_VALUE"""),"CEMEI DR. PAULO MENDES")</f>
        <v>CEMEI DR. PAULO MENDES</v>
      </c>
      <c r="D5" s="95" t="str">
        <f>IFERROR(__xludf.DUMMYFUNCTION("""COMPUTED_VALUE"""),"INFANTIL 1")</f>
        <v>INFANTIL 1</v>
      </c>
      <c r="E5" s="95" t="str">
        <f>IFERROR(__xludf.DUMMYFUNCTION("""COMPUTED_VALUE"""),"Integral")</f>
        <v>Integral</v>
      </c>
      <c r="F5" s="95" t="str">
        <f>IFERROR(__xludf.DUMMYFUNCTION("""COMPUTED_VALUE"""),"Comum")</f>
        <v>Comum</v>
      </c>
      <c r="G5" s="95" t="str">
        <f>IFERROR(__xludf.DUMMYFUNCTION("""COMPUTED_VALUE"""),"4")</f>
        <v>4</v>
      </c>
      <c r="H5" s="95" t="str">
        <f>IFERROR(__xludf.DUMMYFUNCTION("""COMPUTED_VALUE"""),"26052534169")</f>
        <v>26052534169</v>
      </c>
      <c r="I5" s="103" t="str">
        <f>IFERROR(__xludf.DUMMYFUNCTION("""COMPUTED_VALUE"""),"22/05/2026 09:22:30")</f>
        <v>22/05/2026 09:22:30</v>
      </c>
      <c r="J5" s="95" t="str">
        <f>IFERROR(__xludf.DUMMYFUNCTION("""COMPUTED_VALUE"""),"Aylla Eduarda Marques da Silva")</f>
        <v>Aylla Eduarda Marques da Silva</v>
      </c>
      <c r="K5" s="95" t="str">
        <f>IFERROR(__xludf.DUMMYFUNCTION("""COMPUTED_VALUE"""),"003.643.684-46")</f>
        <v>003.643.684-46</v>
      </c>
      <c r="L5" s="104" t="str">
        <f>IFERROR(__xludf.DUMMYFUNCTION("""COMPUTED_VALUE"""),"27/07/2024")</f>
        <v>27/07/2024</v>
      </c>
      <c r="M5" s="104"/>
      <c r="N5" s="95" t="str">
        <f>IFERROR(__xludf.DUMMYFUNCTION("""COMPUTED_VALUE"""),"0")</f>
        <v>0</v>
      </c>
      <c r="O5" s="95"/>
      <c r="P5" s="95"/>
      <c r="Q5" s="95"/>
      <c r="R5" s="95"/>
      <c r="S5" s="95"/>
      <c r="T5" s="95"/>
      <c r="U5" s="95"/>
      <c r="V5" s="95"/>
      <c r="W5" s="95"/>
      <c r="X5" s="95"/>
      <c r="Y5" s="95"/>
      <c r="Z5" s="95"/>
      <c r="AA5" s="95"/>
      <c r="AB5" s="95"/>
      <c r="AC5" s="95"/>
    </row>
    <row r="6" ht="13" spans="1:29">
      <c r="A6" s="95"/>
      <c r="B6" s="95" t="str">
        <f>VLOOKUP(C6,lista_id!$D$2:$F$152,3,0)</f>
        <v>REGIONAL 7</v>
      </c>
      <c r="C6" s="102" t="str">
        <f>IFERROR(__xludf.DUMMYFUNCTION("""COMPUTED_VALUE"""),"CEMEI DR. PAULO MENDES")</f>
        <v>CEMEI DR. PAULO MENDES</v>
      </c>
      <c r="D6" s="95" t="str">
        <f>IFERROR(__xludf.DUMMYFUNCTION("""COMPUTED_VALUE"""),"INFANTIL 2")</f>
        <v>INFANTIL 2</v>
      </c>
      <c r="E6" s="95" t="str">
        <f>IFERROR(__xludf.DUMMYFUNCTION("""COMPUTED_VALUE"""),"Integral")</f>
        <v>Integral</v>
      </c>
      <c r="F6" s="95" t="str">
        <f>IFERROR(__xludf.DUMMYFUNCTION("""COMPUTED_VALUE"""),"Comum")</f>
        <v>Comum</v>
      </c>
      <c r="G6" s="95" t="str">
        <f>IFERROR(__xludf.DUMMYFUNCTION("""COMPUTED_VALUE"""),"1")</f>
        <v>1</v>
      </c>
      <c r="H6" s="95" t="str">
        <f>IFERROR(__xludf.DUMMYFUNCTION("""COMPUTED_VALUE"""),"26052074706")</f>
        <v>26052074706</v>
      </c>
      <c r="I6" s="103" t="str">
        <f>IFERROR(__xludf.DUMMYFUNCTION("""COMPUTED_VALUE"""),"11/05/2026 15:39:59")</f>
        <v>11/05/2026 15:39:59</v>
      </c>
      <c r="J6" s="95" t="str">
        <f>IFERROR(__xludf.DUMMYFUNCTION("""COMPUTED_VALUE"""),"JOÃO LUCAS AQUINO SANTOS")</f>
        <v>JOÃO LUCAS AQUINO SANTOS</v>
      </c>
      <c r="K6" s="95" t="str">
        <f>IFERROR(__xludf.DUMMYFUNCTION("""COMPUTED_VALUE"""),"185.051.604-95")</f>
        <v>185.051.604-95</v>
      </c>
      <c r="L6" s="104" t="str">
        <f>IFERROR(__xludf.DUMMYFUNCTION("""COMPUTED_VALUE"""),"01/04/2023")</f>
        <v>01/04/2023</v>
      </c>
      <c r="M6" s="104"/>
      <c r="N6" s="95" t="str">
        <f>IFERROR(__xludf.DUMMYFUNCTION("""COMPUTED_VALUE"""),"0")</f>
        <v>0</v>
      </c>
      <c r="O6" s="95"/>
      <c r="P6" s="95"/>
      <c r="Q6" s="95"/>
      <c r="R6" s="95"/>
      <c r="S6" s="95"/>
      <c r="T6" s="95"/>
      <c r="U6" s="95"/>
      <c r="V6" s="95"/>
      <c r="W6" s="95"/>
      <c r="X6" s="95"/>
      <c r="Y6" s="95"/>
      <c r="Z6" s="95"/>
      <c r="AA6" s="95"/>
      <c r="AB6" s="95"/>
      <c r="AC6" s="95"/>
    </row>
    <row r="7" ht="13" spans="1:29">
      <c r="A7" s="95"/>
      <c r="B7" s="95" t="str">
        <f>VLOOKUP(C7,lista_id!$D$2:$F$152,3,0)</f>
        <v>REGIONAL 7</v>
      </c>
      <c r="C7" s="102" t="str">
        <f>IFERROR(__xludf.DUMMYFUNCTION("""COMPUTED_VALUE"""),"CEMEI DR. PAULO MENDES")</f>
        <v>CEMEI DR. PAULO MENDES</v>
      </c>
      <c r="D7" s="95" t="str">
        <f>IFERROR(__xludf.DUMMYFUNCTION("""COMPUTED_VALUE"""),"INFANTIL 3")</f>
        <v>INFANTIL 3</v>
      </c>
      <c r="E7" s="95" t="str">
        <f>IFERROR(__xludf.DUMMYFUNCTION("""COMPUTED_VALUE"""),"Integral")</f>
        <v>Integral</v>
      </c>
      <c r="F7" s="95" t="str">
        <f>IFERROR(__xludf.DUMMYFUNCTION("""COMPUTED_VALUE"""),"Comum")</f>
        <v>Comum</v>
      </c>
      <c r="G7" s="95" t="str">
        <f>IFERROR(__xludf.DUMMYFUNCTION("""COMPUTED_VALUE"""),"1")</f>
        <v>1</v>
      </c>
      <c r="H7" s="95" t="str">
        <f>IFERROR(__xludf.DUMMYFUNCTION("""COMPUTED_VALUE"""),"26032408413")</f>
        <v>26032408413</v>
      </c>
      <c r="I7" s="105" t="str">
        <f>IFERROR(__xludf.DUMMYFUNCTION("""COMPUTED_VALUE"""),"05/03/2026 14:41:21")</f>
        <v>05/03/2026 14:41:21</v>
      </c>
      <c r="J7" s="95" t="str">
        <f>IFERROR(__xludf.DUMMYFUNCTION("""COMPUTED_VALUE"""),"ISABELLY LUÍZA GONÇALVES DA SILVA")</f>
        <v>ISABELLY LUÍZA GONÇALVES DA SILVA</v>
      </c>
      <c r="K7" s="95" t="str">
        <f>IFERROR(__xludf.DUMMYFUNCTION("""COMPUTED_VALUE"""),"184.641.384-23")</f>
        <v>184.641.384-23</v>
      </c>
      <c r="L7" s="104" t="str">
        <f>IFERROR(__xludf.DUMMYFUNCTION("""COMPUTED_VALUE"""),"04/03/2023")</f>
        <v>04/03/2023</v>
      </c>
      <c r="M7" s="104"/>
      <c r="N7" s="95" t="str">
        <f>IFERROR(__xludf.DUMMYFUNCTION("""COMPUTED_VALUE"""),"0")</f>
        <v>0</v>
      </c>
      <c r="O7" s="95"/>
      <c r="P7" s="95"/>
      <c r="Q7" s="95"/>
      <c r="R7" s="95"/>
      <c r="S7" s="95"/>
      <c r="T7" s="95"/>
      <c r="U7" s="95"/>
      <c r="V7" s="95"/>
      <c r="W7" s="95"/>
      <c r="X7" s="95"/>
      <c r="Y7" s="95"/>
      <c r="Z7" s="95"/>
      <c r="AA7" s="95"/>
      <c r="AB7" s="95"/>
      <c r="AC7" s="95"/>
    </row>
    <row r="8" ht="13" spans="1:29">
      <c r="A8" s="95"/>
      <c r="B8" s="95" t="str">
        <f>VLOOKUP(C8,lista_id!$D$2:$F$152,3,0)</f>
        <v>REGIONAL 7</v>
      </c>
      <c r="C8" s="102" t="str">
        <f>IFERROR(__xludf.DUMMYFUNCTION("""COMPUTED_VALUE"""),"CEMEI DR. PAULO MENDES")</f>
        <v>CEMEI DR. PAULO MENDES</v>
      </c>
      <c r="D8" s="95" t="str">
        <f>IFERROR(__xludf.DUMMYFUNCTION("""COMPUTED_VALUE"""),"INFANTIL 3")</f>
        <v>INFANTIL 3</v>
      </c>
      <c r="E8" s="95" t="str">
        <f>IFERROR(__xludf.DUMMYFUNCTION("""COMPUTED_VALUE"""),"Integral")</f>
        <v>Integral</v>
      </c>
      <c r="F8" s="95" t="str">
        <f>IFERROR(__xludf.DUMMYFUNCTION("""COMPUTED_VALUE"""),"Comum")</f>
        <v>Comum</v>
      </c>
      <c r="G8" s="95" t="str">
        <f>IFERROR(__xludf.DUMMYFUNCTION("""COMPUTED_VALUE"""),"2")</f>
        <v>2</v>
      </c>
      <c r="H8" s="95" t="str">
        <f>IFERROR(__xludf.DUMMYFUNCTION("""COMPUTED_VALUE"""),"26052957177")</f>
        <v>26052957177</v>
      </c>
      <c r="I8" s="105" t="str">
        <f>IFERROR(__xludf.DUMMYFUNCTION("""COMPUTED_VALUE"""),"15/05/2026 11:07:04")</f>
        <v>15/05/2026 11:07:04</v>
      </c>
      <c r="J8" s="95" t="str">
        <f>IFERROR(__xludf.DUMMYFUNCTION("""COMPUTED_VALUE"""),"AUGUSTO MENDES DE BARROS")</f>
        <v>AUGUSTO MENDES DE BARROS</v>
      </c>
      <c r="K8" s="95" t="str">
        <f>IFERROR(__xludf.DUMMYFUNCTION("""COMPUTED_VALUE"""),"182.434.044-30")</f>
        <v>182.434.044-30</v>
      </c>
      <c r="L8" s="104" t="str">
        <f>IFERROR(__xludf.DUMMYFUNCTION("""COMPUTED_VALUE"""),"04/08/2022")</f>
        <v>04/08/2022</v>
      </c>
      <c r="M8" s="104"/>
      <c r="N8" s="95" t="str">
        <f>IFERROR(__xludf.DUMMYFUNCTION("""COMPUTED_VALUE"""),"0")</f>
        <v>0</v>
      </c>
      <c r="O8" s="95"/>
      <c r="P8" s="95"/>
      <c r="Q8" s="95"/>
      <c r="R8" s="95"/>
      <c r="S8" s="95"/>
      <c r="T8" s="95"/>
      <c r="U8" s="95"/>
      <c r="V8" s="95"/>
      <c r="W8" s="95"/>
      <c r="X8" s="95"/>
      <c r="Y8" s="95"/>
      <c r="Z8" s="95"/>
      <c r="AA8" s="95"/>
      <c r="AB8" s="95"/>
      <c r="AC8" s="95"/>
    </row>
    <row r="9" ht="13" spans="1:29">
      <c r="A9" s="95"/>
      <c r="B9" s="95" t="str">
        <f>VLOOKUP(C9,lista_id!$D$2:$F$152,3,0)</f>
        <v>REGIONAL 7</v>
      </c>
      <c r="C9" s="102" t="str">
        <f>IFERROR(__xludf.DUMMYFUNCTION("""COMPUTED_VALUE"""),"CEMEI DR. PAULO MENDES")</f>
        <v>CEMEI DR. PAULO MENDES</v>
      </c>
      <c r="D9" s="95" t="str">
        <f>IFERROR(__xludf.DUMMYFUNCTION("""COMPUTED_VALUE"""),"INFANTIL 3")</f>
        <v>INFANTIL 3</v>
      </c>
      <c r="E9" s="95" t="str">
        <f>IFERROR(__xludf.DUMMYFUNCTION("""COMPUTED_VALUE"""),"Integral")</f>
        <v>Integral</v>
      </c>
      <c r="F9" s="95" t="str">
        <f>IFERROR(__xludf.DUMMYFUNCTION("""COMPUTED_VALUE"""),"Comum")</f>
        <v>Comum</v>
      </c>
      <c r="G9" s="95" t="str">
        <f>IFERROR(__xludf.DUMMYFUNCTION("""COMPUTED_VALUE"""),"3")</f>
        <v>3</v>
      </c>
      <c r="H9" s="95" t="str">
        <f>IFERROR(__xludf.DUMMYFUNCTION("""COMPUTED_VALUE"""),"26052484301")</f>
        <v>26052484301</v>
      </c>
      <c r="I9" s="105" t="str">
        <f>IFERROR(__xludf.DUMMYFUNCTION("""COMPUTED_VALUE"""),"18/05/2026 09:15:19")</f>
        <v>18/05/2026 09:15:19</v>
      </c>
      <c r="J9" s="95" t="str">
        <f>IFERROR(__xludf.DUMMYFUNCTION("""COMPUTED_VALUE"""),"HELLOYSE VITÓRIA SANTOS DUARTE")</f>
        <v>HELLOYSE VITÓRIA SANTOS DUARTE</v>
      </c>
      <c r="K9" s="95" t="str">
        <f>IFERROR(__xludf.DUMMYFUNCTION("""COMPUTED_VALUE"""),"184.035.244-20")</f>
        <v>184.035.244-20</v>
      </c>
      <c r="L9" s="104" t="str">
        <f>IFERROR(__xludf.DUMMYFUNCTION("""COMPUTED_VALUE"""),"11/01/2023")</f>
        <v>11/01/2023</v>
      </c>
      <c r="M9" s="104"/>
      <c r="N9" s="95" t="str">
        <f>IFERROR(__xludf.DUMMYFUNCTION("""COMPUTED_VALUE"""),"0")</f>
        <v>0</v>
      </c>
      <c r="O9" s="95"/>
      <c r="P9" s="95"/>
      <c r="Q9" s="95"/>
      <c r="R9" s="95"/>
      <c r="S9" s="95"/>
      <c r="T9" s="95"/>
      <c r="U9" s="95"/>
      <c r="V9" s="95"/>
      <c r="W9" s="95"/>
      <c r="X9" s="95"/>
      <c r="Y9" s="95"/>
      <c r="Z9" s="95"/>
      <c r="AA9" s="95"/>
      <c r="AB9" s="95"/>
      <c r="AC9" s="95"/>
    </row>
    <row r="10" ht="13" spans="1:29">
      <c r="A10" s="95"/>
      <c r="B10" s="95" t="str">
        <f>VLOOKUP(C10,lista_id!$D$2:$F$152,3,0)</f>
        <v>REGIONAL 7</v>
      </c>
      <c r="C10" s="102" t="str">
        <f>IFERROR(__xludf.DUMMYFUNCTION("""COMPUTED_VALUE"""),"CEMEI DR. PAULO MENDES")</f>
        <v>CEMEI DR. PAULO MENDES</v>
      </c>
      <c r="D10" s="95" t="str">
        <f>IFERROR(__xludf.DUMMYFUNCTION("""COMPUTED_VALUE"""),"INFANTIL 4")</f>
        <v>INFANTIL 4</v>
      </c>
      <c r="E10" s="95" t="str">
        <f>IFERROR(__xludf.DUMMYFUNCTION("""COMPUTED_VALUE"""),"Matutino/Manhã")</f>
        <v>Matutino/Manhã</v>
      </c>
      <c r="F10" s="95" t="str">
        <f>IFERROR(__xludf.DUMMYFUNCTION("""COMPUTED_VALUE"""),"Comum")</f>
        <v>Comum</v>
      </c>
      <c r="G10" s="95" t="str">
        <f>IFERROR(__xludf.DUMMYFUNCTION("""COMPUTED_VALUE"""),"1")</f>
        <v>1</v>
      </c>
      <c r="H10" s="95" t="str">
        <f>IFERROR(__xludf.DUMMYFUNCTION("""COMPUTED_VALUE"""),"26032792799")</f>
        <v>26032792799</v>
      </c>
      <c r="I10" s="105" t="str">
        <f>IFERROR(__xludf.DUMMYFUNCTION("""COMPUTED_VALUE"""),"16/03/2026 11:13:15")</f>
        <v>16/03/2026 11:13:15</v>
      </c>
      <c r="J10" s="95" t="str">
        <f>IFERROR(__xludf.DUMMYFUNCTION("""COMPUTED_VALUE"""),"MARIA WILLYANE DA SILVA OLIVEIRA")</f>
        <v>MARIA WILLYANE DA SILVA OLIVEIRA</v>
      </c>
      <c r="K10" s="95" t="str">
        <f>IFERROR(__xludf.DUMMYFUNCTION("""COMPUTED_VALUE"""),"179.425.144-80")</f>
        <v>179.425.144-80</v>
      </c>
      <c r="L10" s="104" t="str">
        <f>IFERROR(__xludf.DUMMYFUNCTION("""COMPUTED_VALUE"""),"02/12/2021")</f>
        <v>02/12/2021</v>
      </c>
      <c r="M10" s="104"/>
      <c r="N10" s="95" t="str">
        <f>IFERROR(__xludf.DUMMYFUNCTION("""COMPUTED_VALUE"""),"0")</f>
        <v>0</v>
      </c>
      <c r="O10" s="95"/>
      <c r="P10" s="95"/>
      <c r="Q10" s="95"/>
      <c r="R10" s="95"/>
      <c r="S10" s="95"/>
      <c r="T10" s="95"/>
      <c r="U10" s="95"/>
      <c r="V10" s="95"/>
      <c r="W10" s="95"/>
      <c r="X10" s="95"/>
      <c r="Y10" s="95"/>
      <c r="Z10" s="95"/>
      <c r="AA10" s="95"/>
      <c r="AB10" s="95"/>
      <c r="AC10" s="95"/>
    </row>
    <row r="11" ht="13" spans="1:29">
      <c r="A11" s="95"/>
      <c r="B11" s="95" t="str">
        <f>VLOOKUP(C11,lista_id!$D$2:$F$152,3,0)</f>
        <v>REGIONAL 7</v>
      </c>
      <c r="C11" s="102" t="str">
        <f>IFERROR(__xludf.DUMMYFUNCTION("""COMPUTED_VALUE"""),"CEMEI DR. PAULO MENDES")</f>
        <v>CEMEI DR. PAULO MENDES</v>
      </c>
      <c r="D11" s="95" t="str">
        <f>IFERROR(__xludf.DUMMYFUNCTION("""COMPUTED_VALUE"""),"INFANTIL 5")</f>
        <v>INFANTIL 5</v>
      </c>
      <c r="E11" s="95" t="str">
        <f>IFERROR(__xludf.DUMMYFUNCTION("""COMPUTED_VALUE"""),"Vespertino/Tarde")</f>
        <v>Vespertino/Tarde</v>
      </c>
      <c r="F11" s="95" t="str">
        <f>IFERROR(__xludf.DUMMYFUNCTION("""COMPUTED_VALUE"""),"Comum")</f>
        <v>Comum</v>
      </c>
      <c r="G11" s="95" t="str">
        <f>IFERROR(__xludf.DUMMYFUNCTION("""COMPUTED_VALUE"""),"1")</f>
        <v>1</v>
      </c>
      <c r="H11" s="95" t="str">
        <f>IFERROR(__xludf.DUMMYFUNCTION("""COMPUTED_VALUE"""),"26032246255")</f>
        <v>26032246255</v>
      </c>
      <c r="I11" s="105" t="str">
        <f>IFERROR(__xludf.DUMMYFUNCTION("""COMPUTED_VALUE"""),"04/03/2026 13:11:39")</f>
        <v>04/03/2026 13:11:39</v>
      </c>
      <c r="J11" s="95" t="str">
        <f>IFERROR(__xludf.DUMMYFUNCTION("""COMPUTED_VALUE"""),"DÉBORA ANA VALQUÍRIA GOMES DOS SANTOS")</f>
        <v>DÉBORA ANA VALQUÍRIA GOMES DOS SANTOS</v>
      </c>
      <c r="K11" s="95" t="str">
        <f>IFERROR(__xludf.DUMMYFUNCTION("""COMPUTED_VALUE"""),"174.916.104-47")</f>
        <v>174.916.104-47</v>
      </c>
      <c r="L11" s="106" t="str">
        <f>IFERROR(__xludf.DUMMYFUNCTION("""COMPUTED_VALUE"""),"12/10/2020")</f>
        <v>12/10/2020</v>
      </c>
      <c r="M11" s="104"/>
      <c r="N11" s="95" t="str">
        <f>IFERROR(__xludf.DUMMYFUNCTION("""COMPUTED_VALUE"""),"0")</f>
        <v>0</v>
      </c>
      <c r="O11" s="95"/>
      <c r="P11" s="95"/>
      <c r="Q11" s="95"/>
      <c r="R11" s="95"/>
      <c r="S11" s="95"/>
      <c r="T11" s="95"/>
      <c r="U11" s="95"/>
      <c r="V11" s="95"/>
      <c r="W11" s="95"/>
      <c r="X11" s="95"/>
      <c r="Y11" s="95"/>
      <c r="Z11" s="95"/>
      <c r="AA11" s="95"/>
      <c r="AB11" s="95"/>
      <c r="AC11" s="95"/>
    </row>
    <row r="12" ht="13" spans="1:29">
      <c r="A12" s="95"/>
      <c r="B12" s="95" t="str">
        <f>VLOOKUP(C12,lista_id!$D$2:$F$152,3,0)</f>
        <v>REGIONAL 3</v>
      </c>
      <c r="C12" s="102" t="str">
        <f>IFERROR(__xludf.DUMMYFUNCTION("""COMPUTED_VALUE"""),"CEMEI EDVALDO SEVERIANO DE OLIVEIRA")</f>
        <v>CEMEI EDVALDO SEVERIANO DE OLIVEIRA</v>
      </c>
      <c r="D12" s="95" t="str">
        <f>IFERROR(__xludf.DUMMYFUNCTION("""COMPUTED_VALUE"""),"INFANTIL 3")</f>
        <v>INFANTIL 3</v>
      </c>
      <c r="E12" s="95" t="str">
        <f>IFERROR(__xludf.DUMMYFUNCTION("""COMPUTED_VALUE"""),"Matutino/Manhã")</f>
        <v>Matutino/Manhã</v>
      </c>
      <c r="F12" s="95" t="str">
        <f>IFERROR(__xludf.DUMMYFUNCTION("""COMPUTED_VALUE"""),"Comum")</f>
        <v>Comum</v>
      </c>
      <c r="G12" s="95" t="str">
        <f>IFERROR(__xludf.DUMMYFUNCTION("""COMPUTED_VALUE"""),"1")</f>
        <v>1</v>
      </c>
      <c r="H12" s="95" t="str">
        <f>IFERROR(__xludf.DUMMYFUNCTION("""COMPUTED_VALUE"""),"26042056966")</f>
        <v>26042056966</v>
      </c>
      <c r="I12" s="105" t="str">
        <f>IFERROR(__xludf.DUMMYFUNCTION("""COMPUTED_VALUE"""),"20/04/2026 09:51:30")</f>
        <v>20/04/2026 09:51:30</v>
      </c>
      <c r="J12" s="95" t="str">
        <f>IFERROR(__xludf.DUMMYFUNCTION("""COMPUTED_VALUE"""),"HELENA DE LIMA ALVES")</f>
        <v>HELENA DE LIMA ALVES</v>
      </c>
      <c r="K12" s="95" t="str">
        <f>IFERROR(__xludf.DUMMYFUNCTION("""COMPUTED_VALUE"""),"182.054.644-64")</f>
        <v>182.054.644-64</v>
      </c>
      <c r="L12" s="104" t="str">
        <f>IFERROR(__xludf.DUMMYFUNCTION("""COMPUTED_VALUE"""),"13/06/2022")</f>
        <v>13/06/2022</v>
      </c>
      <c r="M12" s="104"/>
      <c r="N12" s="95" t="str">
        <f>IFERROR(__xludf.DUMMYFUNCTION("""COMPUTED_VALUE"""),"0")</f>
        <v>0</v>
      </c>
      <c r="O12" s="95"/>
      <c r="P12" s="95"/>
      <c r="Q12" s="95"/>
      <c r="R12" s="95"/>
      <c r="S12" s="95"/>
      <c r="T12" s="95"/>
      <c r="U12" s="95"/>
      <c r="V12" s="95"/>
      <c r="W12" s="95"/>
      <c r="X12" s="95"/>
      <c r="Y12" s="95"/>
      <c r="Z12" s="95"/>
      <c r="AA12" s="95"/>
      <c r="AB12" s="95"/>
      <c r="AC12" s="95"/>
    </row>
    <row r="13" ht="13" spans="1:29">
      <c r="A13" s="95"/>
      <c r="B13" s="95" t="str">
        <f>VLOOKUP(C13,lista_id!$D$2:$F$152,3,0)</f>
        <v>REGIONAL 3</v>
      </c>
      <c r="C13" s="102" t="str">
        <f>IFERROR(__xludf.DUMMYFUNCTION("""COMPUTED_VALUE"""),"CEMEI EDVALDO SEVERIANO DE OLIVEIRA")</f>
        <v>CEMEI EDVALDO SEVERIANO DE OLIVEIRA</v>
      </c>
      <c r="D13" s="95" t="str">
        <f>IFERROR(__xludf.DUMMYFUNCTION("""COMPUTED_VALUE"""),"INFANTIL 4")</f>
        <v>INFANTIL 4</v>
      </c>
      <c r="E13" s="95" t="str">
        <f>IFERROR(__xludf.DUMMYFUNCTION("""COMPUTED_VALUE"""),"Vespertino/Tarde")</f>
        <v>Vespertino/Tarde</v>
      </c>
      <c r="F13" s="95" t="str">
        <f>IFERROR(__xludf.DUMMYFUNCTION("""COMPUTED_VALUE"""),"Comum")</f>
        <v>Comum</v>
      </c>
      <c r="G13" s="95" t="str">
        <f>IFERROR(__xludf.DUMMYFUNCTION("""COMPUTED_VALUE"""),"1")</f>
        <v>1</v>
      </c>
      <c r="H13" s="95" t="str">
        <f>IFERROR(__xludf.DUMMYFUNCTION("""COMPUTED_VALUE"""),"26052786040")</f>
        <v>26052786040</v>
      </c>
      <c r="I13" s="105" t="str">
        <f>IFERROR(__xludf.DUMMYFUNCTION("""COMPUTED_VALUE"""),"19/05/2026 09:16:59")</f>
        <v>19/05/2026 09:16:59</v>
      </c>
      <c r="J13" s="95" t="str">
        <f>IFERROR(__xludf.DUMMYFUNCTION("""COMPUTED_VALUE"""),"Aylla Sophia Cabral dos santos")</f>
        <v>Aylla Sophia Cabral dos santos</v>
      </c>
      <c r="K13" s="95" t="str">
        <f>IFERROR(__xludf.DUMMYFUNCTION("""COMPUTED_VALUE"""),"178.153.334-27")</f>
        <v>178.153.334-27</v>
      </c>
      <c r="L13" s="104" t="str">
        <f>IFERROR(__xludf.DUMMYFUNCTION("""COMPUTED_VALUE"""),"02/06/2021")</f>
        <v>02/06/2021</v>
      </c>
      <c r="M13" s="104"/>
      <c r="N13" s="95" t="str">
        <f>IFERROR(__xludf.DUMMYFUNCTION("""COMPUTED_VALUE"""),"0")</f>
        <v>0</v>
      </c>
      <c r="O13" s="95"/>
      <c r="P13" s="95"/>
      <c r="Q13" s="95"/>
      <c r="R13" s="95"/>
      <c r="S13" s="95"/>
      <c r="T13" s="95"/>
      <c r="U13" s="95"/>
      <c r="V13" s="95"/>
      <c r="W13" s="95"/>
      <c r="X13" s="95"/>
      <c r="Y13" s="95"/>
      <c r="Z13" s="95"/>
      <c r="AA13" s="95"/>
      <c r="AB13" s="95"/>
      <c r="AC13" s="95"/>
    </row>
    <row r="14" ht="13" spans="1:29">
      <c r="A14" s="95"/>
      <c r="B14" s="95" t="str">
        <f>VLOOKUP(C14,lista_id!$D$2:$F$152,3,0)</f>
        <v>REGIONAL 7</v>
      </c>
      <c r="C14" s="102" t="str">
        <f>IFERROR(__xludf.DUMMYFUNCTION("""COMPUTED_VALUE"""),"CEMEI ELIEL EUSTAQUIO DA SILVA")</f>
        <v>CEMEI ELIEL EUSTAQUIO DA SILVA</v>
      </c>
      <c r="D14" s="95" t="str">
        <f>IFERROR(__xludf.DUMMYFUNCTION("""COMPUTED_VALUE"""),"INFANTIL 3")</f>
        <v>INFANTIL 3</v>
      </c>
      <c r="E14" s="95" t="str">
        <f>IFERROR(__xludf.DUMMYFUNCTION("""COMPUTED_VALUE"""),"Matutino/Manhã")</f>
        <v>Matutino/Manhã</v>
      </c>
      <c r="F14" s="95" t="str">
        <f>IFERROR(__xludf.DUMMYFUNCTION("""COMPUTED_VALUE"""),"Comum")</f>
        <v>Comum</v>
      </c>
      <c r="G14" s="95" t="str">
        <f>IFERROR(__xludf.DUMMYFUNCTION("""COMPUTED_VALUE"""),"1")</f>
        <v>1</v>
      </c>
      <c r="H14" s="95" t="str">
        <f>IFERROR(__xludf.DUMMYFUNCTION("""COMPUTED_VALUE"""),"26022224621")</f>
        <v>26022224621</v>
      </c>
      <c r="I14" s="105" t="str">
        <f>IFERROR(__xludf.DUMMYFUNCTION("""COMPUTED_VALUE"""),"06/02/2026 09:17:41")</f>
        <v>06/02/2026 09:17:41</v>
      </c>
      <c r="J14" s="95" t="str">
        <f>IFERROR(__xludf.DUMMYFUNCTION("""COMPUTED_VALUE"""),"JOÃO VITOR CERQUEIRA CAMPOS")</f>
        <v>JOÃO VITOR CERQUEIRA CAMPOS</v>
      </c>
      <c r="K14" s="95" t="str">
        <f>IFERROR(__xludf.DUMMYFUNCTION("""COMPUTED_VALUE"""),"184.852.244-42")</f>
        <v>184.852.244-42</v>
      </c>
      <c r="L14" s="106" t="str">
        <f>IFERROR(__xludf.DUMMYFUNCTION("""COMPUTED_VALUE"""),"26/03/2023")</f>
        <v>26/03/2023</v>
      </c>
      <c r="M14" s="106"/>
      <c r="N14" s="95" t="str">
        <f>IFERROR(__xludf.DUMMYFUNCTION("""COMPUTED_VALUE"""),"0")</f>
        <v>0</v>
      </c>
      <c r="O14" s="95"/>
      <c r="P14" s="95"/>
      <c r="Q14" s="95"/>
      <c r="R14" s="95"/>
      <c r="S14" s="95"/>
      <c r="T14" s="95"/>
      <c r="U14" s="95"/>
      <c r="V14" s="95"/>
      <c r="W14" s="95"/>
      <c r="X14" s="95"/>
      <c r="Y14" s="95"/>
      <c r="Z14" s="95"/>
      <c r="AA14" s="95"/>
      <c r="AB14" s="95"/>
      <c r="AC14" s="95"/>
    </row>
    <row r="15" ht="13" spans="1:29">
      <c r="A15" s="95"/>
      <c r="B15" s="95" t="str">
        <f>VLOOKUP(C15,lista_id!$D$2:$F$152,3,0)</f>
        <v>REGIONAL 7</v>
      </c>
      <c r="C15" s="102" t="str">
        <f>IFERROR(__xludf.DUMMYFUNCTION("""COMPUTED_VALUE"""),"CEMEI ELIEL EUSTAQUIO DA SILVA")</f>
        <v>CEMEI ELIEL EUSTAQUIO DA SILVA</v>
      </c>
      <c r="D15" s="95" t="str">
        <f>IFERROR(__xludf.DUMMYFUNCTION("""COMPUTED_VALUE"""),"INFANTIL 3")</f>
        <v>INFANTIL 3</v>
      </c>
      <c r="E15" s="95" t="str">
        <f>IFERROR(__xludf.DUMMYFUNCTION("""COMPUTED_VALUE"""),"Matutino/Manhã")</f>
        <v>Matutino/Manhã</v>
      </c>
      <c r="F15" s="95" t="str">
        <f>IFERROR(__xludf.DUMMYFUNCTION("""COMPUTED_VALUE"""),"Comum")</f>
        <v>Comum</v>
      </c>
      <c r="G15" s="95" t="str">
        <f>IFERROR(__xludf.DUMMYFUNCTION("""COMPUTED_VALUE"""),"2")</f>
        <v>2</v>
      </c>
      <c r="H15" s="95" t="str">
        <f>IFERROR(__xludf.DUMMYFUNCTION("""COMPUTED_VALUE"""),"26052680185")</f>
        <v>26052680185</v>
      </c>
      <c r="I15" s="105" t="str">
        <f>IFERROR(__xludf.DUMMYFUNCTION("""COMPUTED_VALUE"""),"04/05/2026 08:16:17")</f>
        <v>04/05/2026 08:16:17</v>
      </c>
      <c r="J15" s="95" t="str">
        <f>IFERROR(__xludf.DUMMYFUNCTION("""COMPUTED_VALUE"""),"ASAFE ALLAN DE PAULA SILVA")</f>
        <v>ASAFE ALLAN DE PAULA SILVA</v>
      </c>
      <c r="K15" s="95" t="str">
        <f>IFERROR(__xludf.DUMMYFUNCTION("""COMPUTED_VALUE"""),"183.832.884-09")</f>
        <v>183.832.884-09</v>
      </c>
      <c r="L15" s="106" t="str">
        <f>IFERROR(__xludf.DUMMYFUNCTION("""COMPUTED_VALUE"""),"24/12/2022")</f>
        <v>24/12/2022</v>
      </c>
      <c r="M15" s="104"/>
      <c r="N15" s="95" t="str">
        <f>IFERROR(__xludf.DUMMYFUNCTION("""COMPUTED_VALUE"""),"0")</f>
        <v>0</v>
      </c>
      <c r="O15" s="95"/>
      <c r="P15" s="95"/>
      <c r="Q15" s="95"/>
      <c r="R15" s="95"/>
      <c r="S15" s="95"/>
      <c r="T15" s="95"/>
      <c r="U15" s="95"/>
      <c r="V15" s="95"/>
      <c r="W15" s="95"/>
      <c r="X15" s="95"/>
      <c r="Y15" s="95"/>
      <c r="Z15" s="95"/>
      <c r="AA15" s="95"/>
      <c r="AB15" s="95"/>
      <c r="AC15" s="95"/>
    </row>
    <row r="16" ht="13" spans="1:29">
      <c r="A16" s="95"/>
      <c r="B16" s="95" t="str">
        <f>VLOOKUP(C16,lista_id!$D$2:$F$152,3,0)</f>
        <v>REGIONAL 7</v>
      </c>
      <c r="C16" s="102" t="str">
        <f>IFERROR(__xludf.DUMMYFUNCTION("""COMPUTED_VALUE"""),"CEMEI ELIEL EUSTAQUIO DA SILVA")</f>
        <v>CEMEI ELIEL EUSTAQUIO DA SILVA</v>
      </c>
      <c r="D16" s="95" t="str">
        <f>IFERROR(__xludf.DUMMYFUNCTION("""COMPUTED_VALUE"""),"INFANTIL 4")</f>
        <v>INFANTIL 4</v>
      </c>
      <c r="E16" s="95" t="str">
        <f>IFERROR(__xludf.DUMMYFUNCTION("""COMPUTED_VALUE"""),"Matutino/Manhã")</f>
        <v>Matutino/Manhã</v>
      </c>
      <c r="F16" s="95" t="str">
        <f>IFERROR(__xludf.DUMMYFUNCTION("""COMPUTED_VALUE"""),"Comum")</f>
        <v>Comum</v>
      </c>
      <c r="G16" s="95" t="str">
        <f>IFERROR(__xludf.DUMMYFUNCTION("""COMPUTED_VALUE"""),"1")</f>
        <v>1</v>
      </c>
      <c r="H16" s="95" t="str">
        <f>IFERROR(__xludf.DUMMYFUNCTION("""COMPUTED_VALUE"""),"26012221340")</f>
        <v>26012221340</v>
      </c>
      <c r="I16" s="105" t="str">
        <f>IFERROR(__xludf.DUMMYFUNCTION("""COMPUTED_VALUE"""),"28/01/2026 09:47:11")</f>
        <v>28/01/2026 09:47:11</v>
      </c>
      <c r="J16" s="95" t="str">
        <f>IFERROR(__xludf.DUMMYFUNCTION("""COMPUTED_VALUE"""),"ANA LIVIA PEREIRA GOMES DA SILVA")</f>
        <v>ANA LIVIA PEREIRA GOMES DA SILVA</v>
      </c>
      <c r="K16" s="95" t="str">
        <f>IFERROR(__xludf.DUMMYFUNCTION("""COMPUTED_VALUE"""),"176.668.744-05")</f>
        <v>176.668.744-05</v>
      </c>
      <c r="L16" s="104" t="str">
        <f>IFERROR(__xludf.DUMMYFUNCTION("""COMPUTED_VALUE"""),"12/05/2021")</f>
        <v>12/05/2021</v>
      </c>
      <c r="M16" s="104"/>
      <c r="N16" s="95" t="str">
        <f>IFERROR(__xludf.DUMMYFUNCTION("""COMPUTED_VALUE"""),"0")</f>
        <v>0</v>
      </c>
      <c r="O16" s="95"/>
      <c r="P16" s="95"/>
      <c r="Q16" s="95"/>
      <c r="R16" s="95"/>
      <c r="S16" s="95"/>
      <c r="T16" s="95"/>
      <c r="U16" s="95"/>
      <c r="V16" s="95"/>
      <c r="W16" s="95"/>
      <c r="X16" s="95"/>
      <c r="Y16" s="95"/>
      <c r="Z16" s="95"/>
      <c r="AA16" s="95"/>
      <c r="AB16" s="95"/>
      <c r="AC16" s="95"/>
    </row>
    <row r="17" ht="13" spans="1:29">
      <c r="A17" s="95"/>
      <c r="B17" s="95" t="str">
        <f>VLOOKUP(C17,lista_id!$D$2:$F$152,3,0)</f>
        <v>REGIONAL 7</v>
      </c>
      <c r="C17" s="102" t="str">
        <f>IFERROR(__xludf.DUMMYFUNCTION("""COMPUTED_VALUE"""),"CEMEI ELIEL EUSTAQUIO DA SILVA")</f>
        <v>CEMEI ELIEL EUSTAQUIO DA SILVA</v>
      </c>
      <c r="D17" s="95" t="str">
        <f>IFERROR(__xludf.DUMMYFUNCTION("""COMPUTED_VALUE"""),"INFANTIL 4")</f>
        <v>INFANTIL 4</v>
      </c>
      <c r="E17" s="95" t="str">
        <f>IFERROR(__xludf.DUMMYFUNCTION("""COMPUTED_VALUE"""),"Matutino/Manhã")</f>
        <v>Matutino/Manhã</v>
      </c>
      <c r="F17" s="95" t="str">
        <f>IFERROR(__xludf.DUMMYFUNCTION("""COMPUTED_VALUE"""),"Comum")</f>
        <v>Comum</v>
      </c>
      <c r="G17" s="95" t="str">
        <f>IFERROR(__xludf.DUMMYFUNCTION("""COMPUTED_VALUE"""),"2")</f>
        <v>2</v>
      </c>
      <c r="H17" s="95" t="str">
        <f>IFERROR(__xludf.DUMMYFUNCTION("""COMPUTED_VALUE"""),"26012828322")</f>
        <v>26012828322</v>
      </c>
      <c r="I17" s="105" t="str">
        <f>IFERROR(__xludf.DUMMYFUNCTION("""COMPUTED_VALUE"""),"28/01/2026 10:14:16")</f>
        <v>28/01/2026 10:14:16</v>
      </c>
      <c r="J17" s="95" t="str">
        <f>IFERROR(__xludf.DUMMYFUNCTION("""COMPUTED_VALUE"""),"RYAN FELIPE CORREIA DA SILVA")</f>
        <v>RYAN FELIPE CORREIA DA SILVA</v>
      </c>
      <c r="K17" s="95" t="str">
        <f>IFERROR(__xludf.DUMMYFUNCTION("""COMPUTED_VALUE"""),"178.064.414-09")</f>
        <v>178.064.414-09</v>
      </c>
      <c r="L17" s="104" t="str">
        <f>IFERROR(__xludf.DUMMYFUNCTION("""COMPUTED_VALUE"""),"10/08/2021")</f>
        <v>10/08/2021</v>
      </c>
      <c r="M17" s="104"/>
      <c r="N17" s="95" t="str">
        <f>IFERROR(__xludf.DUMMYFUNCTION("""COMPUTED_VALUE"""),"0")</f>
        <v>0</v>
      </c>
      <c r="O17" s="95"/>
      <c r="P17" s="95"/>
      <c r="Q17" s="95"/>
      <c r="R17" s="95"/>
      <c r="S17" s="95"/>
      <c r="T17" s="95"/>
      <c r="U17" s="95"/>
      <c r="V17" s="95"/>
      <c r="W17" s="95"/>
      <c r="X17" s="95"/>
      <c r="Y17" s="95"/>
      <c r="Z17" s="95"/>
      <c r="AA17" s="95"/>
      <c r="AB17" s="95"/>
      <c r="AC17" s="95"/>
    </row>
    <row r="18" ht="13" spans="1:29">
      <c r="A18" s="95"/>
      <c r="B18" s="95" t="str">
        <f>VLOOKUP(C18,lista_id!$D$2:$F$152,3,0)</f>
        <v>REGIONAL 7</v>
      </c>
      <c r="C18" s="102" t="str">
        <f>IFERROR(__xludf.DUMMYFUNCTION("""COMPUTED_VALUE"""),"CEMEI ELIEL EUSTAQUIO DA SILVA")</f>
        <v>CEMEI ELIEL EUSTAQUIO DA SILVA</v>
      </c>
      <c r="D18" s="95" t="str">
        <f>IFERROR(__xludf.DUMMYFUNCTION("""COMPUTED_VALUE"""),"INFANTIL 4")</f>
        <v>INFANTIL 4</v>
      </c>
      <c r="E18" s="95" t="str">
        <f>IFERROR(__xludf.DUMMYFUNCTION("""COMPUTED_VALUE"""),"Matutino/Manhã")</f>
        <v>Matutino/Manhã</v>
      </c>
      <c r="F18" s="95" t="str">
        <f>IFERROR(__xludf.DUMMYFUNCTION("""COMPUTED_VALUE"""),"Comum")</f>
        <v>Comum</v>
      </c>
      <c r="G18" s="95" t="str">
        <f>IFERROR(__xludf.DUMMYFUNCTION("""COMPUTED_VALUE"""),"3")</f>
        <v>3</v>
      </c>
      <c r="H18" s="95" t="str">
        <f>IFERROR(__xludf.DUMMYFUNCTION("""COMPUTED_VALUE"""),"26012960959")</f>
        <v>26012960959</v>
      </c>
      <c r="I18" s="105" t="str">
        <f>IFERROR(__xludf.DUMMYFUNCTION("""COMPUTED_VALUE"""),"28/01/2026 10:18:39")</f>
        <v>28/01/2026 10:18:39</v>
      </c>
      <c r="J18" s="95" t="str">
        <f>IFERROR(__xludf.DUMMYFUNCTION("""COMPUTED_VALUE"""),"LAYLA MANUELY DANTAS DIAS DA SILVA")</f>
        <v>LAYLA MANUELY DANTAS DIAS DA SILVA</v>
      </c>
      <c r="K18" s="95" t="str">
        <f>IFERROR(__xludf.DUMMYFUNCTION("""COMPUTED_VALUE"""),"179.149.914-73")</f>
        <v>179.149.914-73</v>
      </c>
      <c r="L18" s="104" t="str">
        <f>IFERROR(__xludf.DUMMYFUNCTION("""COMPUTED_VALUE"""),"01/11/2021")</f>
        <v>01/11/2021</v>
      </c>
      <c r="M18" s="104"/>
      <c r="N18" s="95" t="str">
        <f>IFERROR(__xludf.DUMMYFUNCTION("""COMPUTED_VALUE"""),"0")</f>
        <v>0</v>
      </c>
      <c r="O18" s="95"/>
      <c r="P18" s="95"/>
      <c r="Q18" s="95"/>
      <c r="R18" s="95"/>
      <c r="S18" s="95"/>
      <c r="T18" s="95"/>
      <c r="U18" s="95"/>
      <c r="V18" s="95"/>
      <c r="W18" s="95"/>
      <c r="X18" s="95"/>
      <c r="Y18" s="95"/>
      <c r="Z18" s="95"/>
      <c r="AA18" s="95"/>
      <c r="AB18" s="95"/>
      <c r="AC18" s="95"/>
    </row>
    <row r="19" ht="13" spans="1:29">
      <c r="A19" s="95"/>
      <c r="B19" s="95" t="str">
        <f>VLOOKUP(C19,lista_id!$D$2:$F$152,3,0)</f>
        <v>REGIONAL 7</v>
      </c>
      <c r="C19" s="102" t="str">
        <f>IFERROR(__xludf.DUMMYFUNCTION("""COMPUTED_VALUE"""),"CEMEI ELIEL EUSTAQUIO DA SILVA")</f>
        <v>CEMEI ELIEL EUSTAQUIO DA SILVA</v>
      </c>
      <c r="D19" s="95" t="str">
        <f>IFERROR(__xludf.DUMMYFUNCTION("""COMPUTED_VALUE"""),"INFANTIL 4")</f>
        <v>INFANTIL 4</v>
      </c>
      <c r="E19" s="95" t="str">
        <f>IFERROR(__xludf.DUMMYFUNCTION("""COMPUTED_VALUE"""),"Matutino/Manhã")</f>
        <v>Matutino/Manhã</v>
      </c>
      <c r="F19" s="95" t="str">
        <f>IFERROR(__xludf.DUMMYFUNCTION("""COMPUTED_VALUE"""),"Comum")</f>
        <v>Comum</v>
      </c>
      <c r="G19" s="95" t="str">
        <f>IFERROR(__xludf.DUMMYFUNCTION("""COMPUTED_VALUE"""),"4")</f>
        <v>4</v>
      </c>
      <c r="H19" s="95" t="str">
        <f>IFERROR(__xludf.DUMMYFUNCTION("""COMPUTED_VALUE"""),"26012514123")</f>
        <v>26012514123</v>
      </c>
      <c r="I19" s="105" t="str">
        <f>IFERROR(__xludf.DUMMYFUNCTION("""COMPUTED_VALUE"""),"28/01/2026 10:27:27")</f>
        <v>28/01/2026 10:27:27</v>
      </c>
      <c r="J19" s="95" t="str">
        <f>IFERROR(__xludf.DUMMYFUNCTION("""COMPUTED_VALUE"""),"KALEL MATHIAS SILVA DO NASCIMENTO")</f>
        <v>KALEL MATHIAS SILVA DO NASCIMENTO</v>
      </c>
      <c r="K19" s="95" t="str">
        <f>IFERROR(__xludf.DUMMYFUNCTION("""COMPUTED_VALUE"""),"179.890.114-50")</f>
        <v>179.890.114-50</v>
      </c>
      <c r="L19" s="104" t="str">
        <f>IFERROR(__xludf.DUMMYFUNCTION("""COMPUTED_VALUE"""),"21/11/2021")</f>
        <v>21/11/2021</v>
      </c>
      <c r="M19" s="104"/>
      <c r="N19" s="95" t="str">
        <f>IFERROR(__xludf.DUMMYFUNCTION("""COMPUTED_VALUE"""),"0")</f>
        <v>0</v>
      </c>
      <c r="O19" s="95"/>
      <c r="P19" s="95"/>
      <c r="Q19" s="95"/>
      <c r="R19" s="95"/>
      <c r="S19" s="95"/>
      <c r="T19" s="95"/>
      <c r="U19" s="95"/>
      <c r="V19" s="95"/>
      <c r="W19" s="95"/>
      <c r="X19" s="95"/>
      <c r="Y19" s="95"/>
      <c r="Z19" s="95"/>
      <c r="AA19" s="95"/>
      <c r="AB19" s="95"/>
      <c r="AC19" s="95"/>
    </row>
    <row r="20" ht="13" spans="1:29">
      <c r="A20" s="95"/>
      <c r="B20" s="95" t="str">
        <f>VLOOKUP(C20,lista_id!$D$2:$F$152,3,0)</f>
        <v>REGIONAL 7</v>
      </c>
      <c r="C20" s="102" t="str">
        <f>IFERROR(__xludf.DUMMYFUNCTION("""COMPUTED_VALUE"""),"CEMEI ELIEL EUSTAQUIO DA SILVA")</f>
        <v>CEMEI ELIEL EUSTAQUIO DA SILVA</v>
      </c>
      <c r="D20" s="95" t="str">
        <f>IFERROR(__xludf.DUMMYFUNCTION("""COMPUTED_VALUE"""),"INFANTIL 4")</f>
        <v>INFANTIL 4</v>
      </c>
      <c r="E20" s="95" t="str">
        <f>IFERROR(__xludf.DUMMYFUNCTION("""COMPUTED_VALUE"""),"Matutino/Manhã")</f>
        <v>Matutino/Manhã</v>
      </c>
      <c r="F20" s="95" t="str">
        <f>IFERROR(__xludf.DUMMYFUNCTION("""COMPUTED_VALUE"""),"Comum")</f>
        <v>Comum</v>
      </c>
      <c r="G20" s="95" t="str">
        <f>IFERROR(__xludf.DUMMYFUNCTION("""COMPUTED_VALUE"""),"5")</f>
        <v>5</v>
      </c>
      <c r="H20" s="95" t="str">
        <f>IFERROR(__xludf.DUMMYFUNCTION("""COMPUTED_VALUE"""),"26012851393")</f>
        <v>26012851393</v>
      </c>
      <c r="I20" s="105" t="str">
        <f>IFERROR(__xludf.DUMMYFUNCTION("""COMPUTED_VALUE"""),"29/01/2026 21:02:49")</f>
        <v>29/01/2026 21:02:49</v>
      </c>
      <c r="J20" s="95" t="str">
        <f>IFERROR(__xludf.DUMMYFUNCTION("""COMPUTED_VALUE"""),"BRYAN RAVI PRIMO DA SILVA")</f>
        <v>BRYAN RAVI PRIMO DA SILVA</v>
      </c>
      <c r="K20" s="95" t="str">
        <f>IFERROR(__xludf.DUMMYFUNCTION("""COMPUTED_VALUE"""),"179.610.804-90")</f>
        <v>179.610.804-90</v>
      </c>
      <c r="L20" s="104" t="str">
        <f>IFERROR(__xludf.DUMMYFUNCTION("""COMPUTED_VALUE"""),"12/12/2021")</f>
        <v>12/12/2021</v>
      </c>
      <c r="M20" s="104"/>
      <c r="N20" s="95" t="str">
        <f>IFERROR(__xludf.DUMMYFUNCTION("""COMPUTED_VALUE"""),"0")</f>
        <v>0</v>
      </c>
      <c r="O20" s="95"/>
      <c r="P20" s="95"/>
      <c r="Q20" s="95"/>
      <c r="R20" s="95"/>
      <c r="S20" s="95"/>
      <c r="T20" s="95"/>
      <c r="U20" s="95"/>
      <c r="V20" s="95"/>
      <c r="W20" s="95"/>
      <c r="X20" s="95"/>
      <c r="Y20" s="95"/>
      <c r="Z20" s="95"/>
      <c r="AA20" s="95"/>
      <c r="AB20" s="95"/>
      <c r="AC20" s="95"/>
    </row>
    <row r="21" ht="15.75" customHeight="1" spans="1:29">
      <c r="A21" s="95"/>
      <c r="B21" s="95" t="str">
        <f>VLOOKUP(C21,lista_id!$D$2:$F$152,3,0)</f>
        <v>REGIONAL 7</v>
      </c>
      <c r="C21" s="102" t="str">
        <f>IFERROR(__xludf.DUMMYFUNCTION("""COMPUTED_VALUE"""),"CEMEI ELIEL EUSTAQUIO DA SILVA")</f>
        <v>CEMEI ELIEL EUSTAQUIO DA SILVA</v>
      </c>
      <c r="D21" s="95" t="str">
        <f>IFERROR(__xludf.DUMMYFUNCTION("""COMPUTED_VALUE"""),"INFANTIL 4")</f>
        <v>INFANTIL 4</v>
      </c>
      <c r="E21" s="95" t="str">
        <f>IFERROR(__xludf.DUMMYFUNCTION("""COMPUTED_VALUE"""),"Matutino/Manhã")</f>
        <v>Matutino/Manhã</v>
      </c>
      <c r="F21" s="95" t="str">
        <f>IFERROR(__xludf.DUMMYFUNCTION("""COMPUTED_VALUE"""),"Comum")</f>
        <v>Comum</v>
      </c>
      <c r="G21" s="95" t="str">
        <f>IFERROR(__xludf.DUMMYFUNCTION("""COMPUTED_VALUE"""),"6")</f>
        <v>6</v>
      </c>
      <c r="H21" s="95" t="str">
        <f>IFERROR(__xludf.DUMMYFUNCTION("""COMPUTED_VALUE"""),"26022367185")</f>
        <v>26022367185</v>
      </c>
      <c r="I21" s="105" t="str">
        <f>IFERROR(__xludf.DUMMYFUNCTION("""COMPUTED_VALUE"""),"03/02/2026 09:59:50")</f>
        <v>03/02/2026 09:59:50</v>
      </c>
      <c r="J21" s="95" t="str">
        <f>IFERROR(__xludf.DUMMYFUNCTION("""COMPUTED_VALUE"""),"ANTHONY GAEL CACIANO FRANÇA VIEIRA")</f>
        <v>ANTHONY GAEL CACIANO FRANÇA VIEIRA</v>
      </c>
      <c r="K21" s="95" t="str">
        <f>IFERROR(__xludf.DUMMYFUNCTION("""COMPUTED_VALUE"""),"180.577.814-59")</f>
        <v>180.577.814-59</v>
      </c>
      <c r="L21" s="104" t="str">
        <f>IFERROR(__xludf.DUMMYFUNCTION("""COMPUTED_VALUE"""),"20/02/2022")</f>
        <v>20/02/2022</v>
      </c>
      <c r="M21" s="104"/>
      <c r="N21" s="95" t="str">
        <f>IFERROR(__xludf.DUMMYFUNCTION("""COMPUTED_VALUE"""),"0")</f>
        <v>0</v>
      </c>
      <c r="O21" s="95"/>
      <c r="P21" s="95"/>
      <c r="Q21" s="95"/>
      <c r="R21" s="95"/>
      <c r="S21" s="95"/>
      <c r="T21" s="95"/>
      <c r="U21" s="95"/>
      <c r="V21" s="95"/>
      <c r="W21" s="95"/>
      <c r="X21" s="95"/>
      <c r="Y21" s="95"/>
      <c r="Z21" s="95"/>
      <c r="AA21" s="95"/>
      <c r="AB21" s="95"/>
      <c r="AC21" s="95"/>
    </row>
    <row r="22" ht="15.75" customHeight="1" spans="1:29">
      <c r="A22" s="95"/>
      <c r="B22" s="95" t="str">
        <f>VLOOKUP(C22,lista_id!$D$2:$F$152,3,0)</f>
        <v>REGIONAL 7</v>
      </c>
      <c r="C22" s="102" t="str">
        <f>IFERROR(__xludf.DUMMYFUNCTION("""COMPUTED_VALUE"""),"CEMEI ELIEL EUSTAQUIO DA SILVA")</f>
        <v>CEMEI ELIEL EUSTAQUIO DA SILVA</v>
      </c>
      <c r="D22" s="95" t="str">
        <f>IFERROR(__xludf.DUMMYFUNCTION("""COMPUTED_VALUE"""),"INFANTIL 4")</f>
        <v>INFANTIL 4</v>
      </c>
      <c r="E22" s="95" t="str">
        <f>IFERROR(__xludf.DUMMYFUNCTION("""COMPUTED_VALUE"""),"Matutino/Manhã")</f>
        <v>Matutino/Manhã</v>
      </c>
      <c r="F22" s="95" t="str">
        <f>IFERROR(__xludf.DUMMYFUNCTION("""COMPUTED_VALUE"""),"Comum")</f>
        <v>Comum</v>
      </c>
      <c r="G22" s="95" t="str">
        <f>IFERROR(__xludf.DUMMYFUNCTION("""COMPUTED_VALUE"""),"7")</f>
        <v>7</v>
      </c>
      <c r="H22" s="95" t="str">
        <f>IFERROR(__xludf.DUMMYFUNCTION("""COMPUTED_VALUE"""),"26022615852")</f>
        <v>26022615852</v>
      </c>
      <c r="I22" s="105" t="str">
        <f>IFERROR(__xludf.DUMMYFUNCTION("""COMPUTED_VALUE"""),"05/02/2026 11:30:23")</f>
        <v>05/02/2026 11:30:23</v>
      </c>
      <c r="J22" s="95" t="str">
        <f>IFERROR(__xludf.DUMMYFUNCTION("""COMPUTED_VALUE"""),"JEFFERSON WILLIAM ALVES DA SILVA")</f>
        <v>JEFFERSON WILLIAM ALVES DA SILVA</v>
      </c>
      <c r="K22" s="95" t="str">
        <f>IFERROR(__xludf.DUMMYFUNCTION("""COMPUTED_VALUE"""),"180.705.954-50")</f>
        <v>180.705.954-50</v>
      </c>
      <c r="L22" s="104" t="str">
        <f>IFERROR(__xludf.DUMMYFUNCTION("""COMPUTED_VALUE"""),"01/03/2022")</f>
        <v>01/03/2022</v>
      </c>
      <c r="M22" s="104"/>
      <c r="N22" s="95" t="str">
        <f>IFERROR(__xludf.DUMMYFUNCTION("""COMPUTED_VALUE"""),"0")</f>
        <v>0</v>
      </c>
      <c r="O22" s="95"/>
      <c r="P22" s="95"/>
      <c r="Q22" s="95"/>
      <c r="R22" s="95"/>
      <c r="S22" s="95"/>
      <c r="T22" s="95"/>
      <c r="U22" s="95"/>
      <c r="V22" s="95"/>
      <c r="W22" s="95"/>
      <c r="X22" s="95"/>
      <c r="Y22" s="95"/>
      <c r="Z22" s="95"/>
      <c r="AA22" s="95"/>
      <c r="AB22" s="95"/>
      <c r="AC22" s="95"/>
    </row>
    <row r="23" ht="15.75" customHeight="1" spans="1:29">
      <c r="A23" s="95"/>
      <c r="B23" s="95" t="str">
        <f>VLOOKUP(C23,lista_id!$D$2:$F$152,3,0)</f>
        <v>REGIONAL 7</v>
      </c>
      <c r="C23" s="102" t="str">
        <f>IFERROR(__xludf.DUMMYFUNCTION("""COMPUTED_VALUE"""),"CEMEI ELIEL EUSTAQUIO DA SILVA")</f>
        <v>CEMEI ELIEL EUSTAQUIO DA SILVA</v>
      </c>
      <c r="D23" s="95" t="str">
        <f>IFERROR(__xludf.DUMMYFUNCTION("""COMPUTED_VALUE"""),"INFANTIL 4")</f>
        <v>INFANTIL 4</v>
      </c>
      <c r="E23" s="95" t="str">
        <f>IFERROR(__xludf.DUMMYFUNCTION("""COMPUTED_VALUE"""),"Matutino/Manhã")</f>
        <v>Matutino/Manhã</v>
      </c>
      <c r="F23" s="95" t="str">
        <f>IFERROR(__xludf.DUMMYFUNCTION("""COMPUTED_VALUE"""),"Comum")</f>
        <v>Comum</v>
      </c>
      <c r="G23" s="95" t="str">
        <f>IFERROR(__xludf.DUMMYFUNCTION("""COMPUTED_VALUE"""),"8")</f>
        <v>8</v>
      </c>
      <c r="H23" s="95" t="str">
        <f>IFERROR(__xludf.DUMMYFUNCTION("""COMPUTED_VALUE"""),"26022967127")</f>
        <v>26022967127</v>
      </c>
      <c r="I23" s="105" t="str">
        <f>IFERROR(__xludf.DUMMYFUNCTION("""COMPUTED_VALUE"""),"05/02/2026 11:43:49")</f>
        <v>05/02/2026 11:43:49</v>
      </c>
      <c r="J23" s="95" t="str">
        <f>IFERROR(__xludf.DUMMYFUNCTION("""COMPUTED_VALUE"""),"EDUARDO LUIZ PEREIRA DOS SANTOS")</f>
        <v>EDUARDO LUIZ PEREIRA DOS SANTOS</v>
      </c>
      <c r="K23" s="95" t="str">
        <f>IFERROR(__xludf.DUMMYFUNCTION("""COMPUTED_VALUE"""),"180.724.984-01")</f>
        <v>180.724.984-01</v>
      </c>
      <c r="L23" s="104" t="str">
        <f>IFERROR(__xludf.DUMMYFUNCTION("""COMPUTED_VALUE"""),"26/01/2022")</f>
        <v>26/01/2022</v>
      </c>
      <c r="M23" s="104"/>
      <c r="N23" s="95" t="str">
        <f>IFERROR(__xludf.DUMMYFUNCTION("""COMPUTED_VALUE"""),"0")</f>
        <v>0</v>
      </c>
      <c r="O23" s="95"/>
      <c r="P23" s="95"/>
      <c r="Q23" s="95"/>
      <c r="R23" s="95"/>
      <c r="S23" s="95"/>
      <c r="T23" s="95"/>
      <c r="U23" s="95"/>
      <c r="V23" s="95"/>
      <c r="W23" s="95"/>
      <c r="X23" s="95"/>
      <c r="Y23" s="95"/>
      <c r="Z23" s="95"/>
      <c r="AA23" s="95"/>
      <c r="AB23" s="95"/>
      <c r="AC23" s="95"/>
    </row>
    <row r="24" ht="15.75" customHeight="1" spans="1:29">
      <c r="A24" s="95"/>
      <c r="B24" s="95" t="str">
        <f>VLOOKUP(C24,lista_id!$D$2:$F$152,3,0)</f>
        <v>REGIONAL 7</v>
      </c>
      <c r="C24" s="102" t="str">
        <f>IFERROR(__xludf.DUMMYFUNCTION("""COMPUTED_VALUE"""),"CEMEI ELIEL EUSTAQUIO DA SILVA")</f>
        <v>CEMEI ELIEL EUSTAQUIO DA SILVA</v>
      </c>
      <c r="D24" s="95" t="str">
        <f>IFERROR(__xludf.DUMMYFUNCTION("""COMPUTED_VALUE"""),"INFANTIL 4")</f>
        <v>INFANTIL 4</v>
      </c>
      <c r="E24" s="95" t="str">
        <f>IFERROR(__xludf.DUMMYFUNCTION("""COMPUTED_VALUE"""),"Matutino/Manhã")</f>
        <v>Matutino/Manhã</v>
      </c>
      <c r="F24" s="95" t="str">
        <f>IFERROR(__xludf.DUMMYFUNCTION("""COMPUTED_VALUE"""),"Comum")</f>
        <v>Comum</v>
      </c>
      <c r="G24" s="95" t="str">
        <f>IFERROR(__xludf.DUMMYFUNCTION("""COMPUTED_VALUE"""),"9")</f>
        <v>9</v>
      </c>
      <c r="H24" s="95" t="str">
        <f>IFERROR(__xludf.DUMMYFUNCTION("""COMPUTED_VALUE"""),"26022109575")</f>
        <v>26022109575</v>
      </c>
      <c r="I24" s="105" t="str">
        <f>IFERROR(__xludf.DUMMYFUNCTION("""COMPUTED_VALUE"""),"09/02/2026 08:33:33")</f>
        <v>09/02/2026 08:33:33</v>
      </c>
      <c r="J24" s="95" t="str">
        <f>IFERROR(__xludf.DUMMYFUNCTION("""COMPUTED_VALUE"""),"EDERSON GABRIEL DA SILVA SANTOS GOIS")</f>
        <v>EDERSON GABRIEL DA SILVA SANTOS GOIS</v>
      </c>
      <c r="K24" s="95" t="str">
        <f>IFERROR(__xludf.DUMMYFUNCTION("""COMPUTED_VALUE"""),"181.265.684-02")</f>
        <v>181.265.684-02</v>
      </c>
      <c r="L24" s="104" t="str">
        <f>IFERROR(__xludf.DUMMYFUNCTION("""COMPUTED_VALUE"""),"17/02/2022")</f>
        <v>17/02/2022</v>
      </c>
      <c r="M24" s="104"/>
      <c r="N24" s="95" t="str">
        <f>IFERROR(__xludf.DUMMYFUNCTION("""COMPUTED_VALUE"""),"0")</f>
        <v>0</v>
      </c>
      <c r="O24" s="95"/>
      <c r="P24" s="95"/>
      <c r="Q24" s="95"/>
      <c r="R24" s="95"/>
      <c r="S24" s="95"/>
      <c r="T24" s="95"/>
      <c r="U24" s="95"/>
      <c r="V24" s="95"/>
      <c r="W24" s="95"/>
      <c r="X24" s="95"/>
      <c r="Y24" s="95"/>
      <c r="Z24" s="95"/>
      <c r="AA24" s="95"/>
      <c r="AB24" s="95"/>
      <c r="AC24" s="95"/>
    </row>
    <row r="25" ht="15.75" customHeight="1" spans="1:29">
      <c r="A25" s="95"/>
      <c r="B25" s="95" t="str">
        <f>VLOOKUP(C25,lista_id!$D$2:$F$152,3,0)</f>
        <v>REGIONAL 7</v>
      </c>
      <c r="C25" s="102" t="str">
        <f>IFERROR(__xludf.DUMMYFUNCTION("""COMPUTED_VALUE"""),"CEMEI ELIEL EUSTAQUIO DA SILVA")</f>
        <v>CEMEI ELIEL EUSTAQUIO DA SILVA</v>
      </c>
      <c r="D25" s="95" t="str">
        <f>IFERROR(__xludf.DUMMYFUNCTION("""COMPUTED_VALUE"""),"INFANTIL 4")</f>
        <v>INFANTIL 4</v>
      </c>
      <c r="E25" s="95" t="str">
        <f>IFERROR(__xludf.DUMMYFUNCTION("""COMPUTED_VALUE"""),"Matutino/Manhã")</f>
        <v>Matutino/Manhã</v>
      </c>
      <c r="F25" s="95" t="str">
        <f>IFERROR(__xludf.DUMMYFUNCTION("""COMPUTED_VALUE"""),"Comum")</f>
        <v>Comum</v>
      </c>
      <c r="G25" s="95" t="str">
        <f>IFERROR(__xludf.DUMMYFUNCTION("""COMPUTED_VALUE"""),"10")</f>
        <v>10</v>
      </c>
      <c r="H25" s="95" t="str">
        <f>IFERROR(__xludf.DUMMYFUNCTION("""COMPUTED_VALUE"""),"26022674866")</f>
        <v>26022674866</v>
      </c>
      <c r="I25" s="105" t="str">
        <f>IFERROR(__xludf.DUMMYFUNCTION("""COMPUTED_VALUE"""),"10/02/2026 08:38:18")</f>
        <v>10/02/2026 08:38:18</v>
      </c>
      <c r="J25" s="95" t="str">
        <f>IFERROR(__xludf.DUMMYFUNCTION("""COMPUTED_VALUE"""),"ALLÍCYA SOPHIA E SILVA RODRIGUES")</f>
        <v>ALLÍCYA SOPHIA E SILVA RODRIGUES</v>
      </c>
      <c r="K25" s="95" t="str">
        <f>IFERROR(__xludf.DUMMYFUNCTION("""COMPUTED_VALUE"""),"178.859.044-90")</f>
        <v>178.859.044-90</v>
      </c>
      <c r="L25" s="104" t="str">
        <f>IFERROR(__xludf.DUMMYFUNCTION("""COMPUTED_VALUE"""),"21/10/2021")</f>
        <v>21/10/2021</v>
      </c>
      <c r="M25" s="104"/>
      <c r="N25" s="95" t="str">
        <f>IFERROR(__xludf.DUMMYFUNCTION("""COMPUTED_VALUE"""),"0")</f>
        <v>0</v>
      </c>
      <c r="O25" s="95"/>
      <c r="P25" s="95"/>
      <c r="Q25" s="95"/>
      <c r="R25" s="95"/>
      <c r="S25" s="95"/>
      <c r="T25" s="95"/>
      <c r="U25" s="95"/>
      <c r="V25" s="95"/>
      <c r="W25" s="95"/>
      <c r="X25" s="95"/>
      <c r="Y25" s="95"/>
      <c r="Z25" s="95"/>
      <c r="AA25" s="95"/>
      <c r="AB25" s="95"/>
      <c r="AC25" s="95"/>
    </row>
    <row r="26" ht="15.75" customHeight="1" spans="1:29">
      <c r="A26" s="95"/>
      <c r="B26" s="95" t="str">
        <f>VLOOKUP(C26,lista_id!$D$2:$F$152,3,0)</f>
        <v>REGIONAL 7</v>
      </c>
      <c r="C26" s="102" t="str">
        <f>IFERROR(__xludf.DUMMYFUNCTION("""COMPUTED_VALUE"""),"CEMEI ELIEL EUSTAQUIO DA SILVA")</f>
        <v>CEMEI ELIEL EUSTAQUIO DA SILVA</v>
      </c>
      <c r="D26" s="95" t="str">
        <f>IFERROR(__xludf.DUMMYFUNCTION("""COMPUTED_VALUE"""),"INFANTIL 4")</f>
        <v>INFANTIL 4</v>
      </c>
      <c r="E26" s="95" t="str">
        <f>IFERROR(__xludf.DUMMYFUNCTION("""COMPUTED_VALUE"""),"Matutino/Manhã")</f>
        <v>Matutino/Manhã</v>
      </c>
      <c r="F26" s="95" t="str">
        <f>IFERROR(__xludf.DUMMYFUNCTION("""COMPUTED_VALUE"""),"Comum")</f>
        <v>Comum</v>
      </c>
      <c r="G26" s="95" t="str">
        <f>IFERROR(__xludf.DUMMYFUNCTION("""COMPUTED_VALUE"""),"11")</f>
        <v>11</v>
      </c>
      <c r="H26" s="95" t="str">
        <f>IFERROR(__xludf.DUMMYFUNCTION("""COMPUTED_VALUE"""),"26032523852")</f>
        <v>26032523852</v>
      </c>
      <c r="I26" s="103" t="str">
        <f>IFERROR(__xludf.DUMMYFUNCTION("""COMPUTED_VALUE"""),"26/03/2026 15:15:54")</f>
        <v>26/03/2026 15:15:54</v>
      </c>
      <c r="J26" s="95" t="str">
        <f>IFERROR(__xludf.DUMMYFUNCTION("""COMPUTED_VALUE"""),"YOHANNA LARISSA BARBOSA LOPES")</f>
        <v>YOHANNA LARISSA BARBOSA LOPES</v>
      </c>
      <c r="K26" s="95" t="str">
        <f>IFERROR(__xludf.DUMMYFUNCTION("""COMPUTED_VALUE"""),"176.892.574-70")</f>
        <v>176.892.574-70</v>
      </c>
      <c r="L26" s="104" t="str">
        <f>IFERROR(__xludf.DUMMYFUNCTION("""COMPUTED_VALUE"""),"30/05/2021")</f>
        <v>30/05/2021</v>
      </c>
      <c r="M26" s="104"/>
      <c r="N26" s="95" t="str">
        <f>IFERROR(__xludf.DUMMYFUNCTION("""COMPUTED_VALUE"""),"0")</f>
        <v>0</v>
      </c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</row>
    <row r="27" ht="15.75" customHeight="1" spans="1:29">
      <c r="A27" s="95"/>
      <c r="B27" s="95" t="str">
        <f>VLOOKUP(C27,lista_id!$D$2:$F$152,3,0)</f>
        <v>REGIONAL 7</v>
      </c>
      <c r="C27" s="102" t="str">
        <f>IFERROR(__xludf.DUMMYFUNCTION("""COMPUTED_VALUE"""),"CEMEI ELIEL EUSTAQUIO DA SILVA")</f>
        <v>CEMEI ELIEL EUSTAQUIO DA SILVA</v>
      </c>
      <c r="D27" s="95" t="str">
        <f>IFERROR(__xludf.DUMMYFUNCTION("""COMPUTED_VALUE"""),"INFANTIL 4")</f>
        <v>INFANTIL 4</v>
      </c>
      <c r="E27" s="95" t="str">
        <f>IFERROR(__xludf.DUMMYFUNCTION("""COMPUTED_VALUE"""),"Matutino/Manhã")</f>
        <v>Matutino/Manhã</v>
      </c>
      <c r="F27" s="95" t="str">
        <f>IFERROR(__xludf.DUMMYFUNCTION("""COMPUTED_VALUE"""),"Comum")</f>
        <v>Comum</v>
      </c>
      <c r="G27" s="95" t="str">
        <f>IFERROR(__xludf.DUMMYFUNCTION("""COMPUTED_VALUE"""),"12")</f>
        <v>12</v>
      </c>
      <c r="H27" s="95" t="str">
        <f>IFERROR(__xludf.DUMMYFUNCTION("""COMPUTED_VALUE"""),"26042354258")</f>
        <v>26042354258</v>
      </c>
      <c r="I27" s="103" t="str">
        <f>IFERROR(__xludf.DUMMYFUNCTION("""COMPUTED_VALUE"""),"09/04/2026 13:55:24")</f>
        <v>09/04/2026 13:55:24</v>
      </c>
      <c r="J27" s="95" t="str">
        <f>IFERROR(__xludf.DUMMYFUNCTION("""COMPUTED_VALUE"""),"DAVI EMANUEL FARIAS GINO")</f>
        <v>DAVI EMANUEL FARIAS GINO</v>
      </c>
      <c r="K27" s="95" t="str">
        <f>IFERROR(__xludf.DUMMYFUNCTION("""COMPUTED_VALUE"""),"178.842.614-21")</f>
        <v>178.842.614-21</v>
      </c>
      <c r="L27" s="104" t="str">
        <f>IFERROR(__xludf.DUMMYFUNCTION("""COMPUTED_VALUE"""),"16/10/2021")</f>
        <v>16/10/2021</v>
      </c>
      <c r="M27" s="106"/>
      <c r="N27" s="95" t="str">
        <f>IFERROR(__xludf.DUMMYFUNCTION("""COMPUTED_VALUE"""),"0")</f>
        <v>0</v>
      </c>
      <c r="O27" s="95"/>
      <c r="P27" s="95"/>
      <c r="Q27" s="95"/>
      <c r="R27" s="95"/>
      <c r="S27" s="95"/>
      <c r="T27" s="95"/>
      <c r="U27" s="95"/>
      <c r="V27" s="95"/>
      <c r="W27" s="95"/>
      <c r="X27" s="95"/>
      <c r="Y27" s="95"/>
      <c r="Z27" s="95"/>
      <c r="AA27" s="95"/>
      <c r="AB27" s="95"/>
      <c r="AC27" s="95"/>
    </row>
    <row r="28" ht="15.75" customHeight="1" spans="1:29">
      <c r="A28" s="95"/>
      <c r="B28" s="95" t="str">
        <f>VLOOKUP(C28,lista_id!$D$2:$F$152,3,0)</f>
        <v>REGIONAL 7</v>
      </c>
      <c r="C28" s="102" t="str">
        <f>IFERROR(__xludf.DUMMYFUNCTION("""COMPUTED_VALUE"""),"CEMEI ELIEL EUSTAQUIO DA SILVA")</f>
        <v>CEMEI ELIEL EUSTAQUIO DA SILVA</v>
      </c>
      <c r="D28" s="95" t="str">
        <f>IFERROR(__xludf.DUMMYFUNCTION("""COMPUTED_VALUE"""),"INFANTIL 4")</f>
        <v>INFANTIL 4</v>
      </c>
      <c r="E28" s="95" t="str">
        <f>IFERROR(__xludf.DUMMYFUNCTION("""COMPUTED_VALUE"""),"Matutino/Manhã")</f>
        <v>Matutino/Manhã</v>
      </c>
      <c r="F28" s="95" t="str">
        <f>IFERROR(__xludf.DUMMYFUNCTION("""COMPUTED_VALUE"""),"Comum")</f>
        <v>Comum</v>
      </c>
      <c r="G28" s="95" t="str">
        <f>IFERROR(__xludf.DUMMYFUNCTION("""COMPUTED_VALUE"""),"13")</f>
        <v>13</v>
      </c>
      <c r="H28" s="95" t="str">
        <f>IFERROR(__xludf.DUMMYFUNCTION("""COMPUTED_VALUE"""),"26052109575")</f>
        <v>26052109575</v>
      </c>
      <c r="I28" s="103" t="str">
        <f>IFERROR(__xludf.DUMMYFUNCTION("""COMPUTED_VALUE"""),"27/05/2026 11:45:30")</f>
        <v>27/05/2026 11:45:30</v>
      </c>
      <c r="J28" s="95" t="str">
        <f>IFERROR(__xludf.DUMMYFUNCTION("""COMPUTED_VALUE"""),"Maria Beatriz da rocha Campelo")</f>
        <v>Maria Beatriz da rocha Campelo</v>
      </c>
      <c r="K28" s="95" t="str">
        <f>IFERROR(__xludf.DUMMYFUNCTION("""COMPUTED_VALUE"""),"177.413.554-06")</f>
        <v>177.413.554-06</v>
      </c>
      <c r="L28" s="104" t="str">
        <f>IFERROR(__xludf.DUMMYFUNCTION("""COMPUTED_VALUE"""),"09/07/2021")</f>
        <v>09/07/2021</v>
      </c>
      <c r="M28" s="106"/>
      <c r="N28" s="95" t="str">
        <f>IFERROR(__xludf.DUMMYFUNCTION("""COMPUTED_VALUE"""),"0")</f>
        <v>0</v>
      </c>
      <c r="O28" s="95"/>
      <c r="P28" s="95"/>
      <c r="Q28" s="95"/>
      <c r="R28" s="95"/>
      <c r="S28" s="95"/>
      <c r="T28" s="95"/>
      <c r="U28" s="95"/>
      <c r="V28" s="95"/>
      <c r="W28" s="95"/>
      <c r="X28" s="95"/>
      <c r="Y28" s="95"/>
      <c r="Z28" s="95"/>
      <c r="AA28" s="95"/>
      <c r="AB28" s="95"/>
      <c r="AC28" s="95"/>
    </row>
    <row r="29" ht="15.75" customHeight="1" spans="1:29">
      <c r="A29" s="95"/>
      <c r="B29" s="95" t="str">
        <f>VLOOKUP(C29,lista_id!$D$2:$F$152,3,0)</f>
        <v>REGIONAL 7</v>
      </c>
      <c r="C29" s="102" t="str">
        <f>IFERROR(__xludf.DUMMYFUNCTION("""COMPUTED_VALUE"""),"CEMEI JOÃO FERNANDES VIEIRA")</f>
        <v>CEMEI JOÃO FERNANDES VIEIRA</v>
      </c>
      <c r="D29" s="95" t="str">
        <f>IFERROR(__xludf.DUMMYFUNCTION("""COMPUTED_VALUE"""),"INFANTIL 4")</f>
        <v>INFANTIL 4</v>
      </c>
      <c r="E29" s="95" t="str">
        <f>IFERROR(__xludf.DUMMYFUNCTION("""COMPUTED_VALUE"""),"Matutino/Manhã")</f>
        <v>Matutino/Manhã</v>
      </c>
      <c r="F29" s="95" t="str">
        <f>IFERROR(__xludf.DUMMYFUNCTION("""COMPUTED_VALUE"""),"Comum")</f>
        <v>Comum</v>
      </c>
      <c r="G29" s="95" t="str">
        <f>IFERROR(__xludf.DUMMYFUNCTION("""COMPUTED_VALUE"""),"1")</f>
        <v>1</v>
      </c>
      <c r="H29" s="95" t="str">
        <f>IFERROR(__xludf.DUMMYFUNCTION("""COMPUTED_VALUE"""),"26012511040")</f>
        <v>26012511040</v>
      </c>
      <c r="I29" s="103" t="str">
        <f>IFERROR(__xludf.DUMMYFUNCTION("""COMPUTED_VALUE"""),"28/01/2026 08:40:52")</f>
        <v>28/01/2026 08:40:52</v>
      </c>
      <c r="J29" s="95" t="str">
        <f>IFERROR(__xludf.DUMMYFUNCTION("""COMPUTED_VALUE"""),"VITORIA ALVES BELO DA SILVA")</f>
        <v>VITORIA ALVES BELO DA SILVA</v>
      </c>
      <c r="K29" s="95" t="str">
        <f>IFERROR(__xludf.DUMMYFUNCTION("""COMPUTED_VALUE"""),"177.337.994-14")</f>
        <v>177.337.994-14</v>
      </c>
      <c r="L29" s="104" t="str">
        <f>IFERROR(__xludf.DUMMYFUNCTION("""COMPUTED_VALUE"""),"05/07/2021")</f>
        <v>05/07/2021</v>
      </c>
      <c r="M29" s="106"/>
      <c r="N29" s="95" t="str">
        <f>IFERROR(__xludf.DUMMYFUNCTION("""COMPUTED_VALUE"""),"0")</f>
        <v>0</v>
      </c>
      <c r="O29" s="95"/>
      <c r="P29" s="95"/>
      <c r="Q29" s="95"/>
      <c r="R29" s="95"/>
      <c r="S29" s="95"/>
      <c r="T29" s="95"/>
      <c r="U29" s="95"/>
      <c r="V29" s="95"/>
      <c r="W29" s="95"/>
      <c r="X29" s="95"/>
      <c r="Y29" s="95"/>
      <c r="Z29" s="95"/>
      <c r="AA29" s="95"/>
      <c r="AB29" s="95"/>
      <c r="AC29" s="95"/>
    </row>
    <row r="30" ht="15.75" customHeight="1" spans="1:29">
      <c r="A30" s="95"/>
      <c r="B30" s="95" t="str">
        <f>VLOOKUP(C30,lista_id!$D$2:$F$152,3,0)</f>
        <v>REGIONAL 7</v>
      </c>
      <c r="C30" s="102" t="str">
        <f>IFERROR(__xludf.DUMMYFUNCTION("""COMPUTED_VALUE"""),"CEMEI JOÃO FERNANDES VIEIRA")</f>
        <v>CEMEI JOÃO FERNANDES VIEIRA</v>
      </c>
      <c r="D30" s="95" t="str">
        <f>IFERROR(__xludf.DUMMYFUNCTION("""COMPUTED_VALUE"""),"INFANTIL 4")</f>
        <v>INFANTIL 4</v>
      </c>
      <c r="E30" s="95" t="str">
        <f>IFERROR(__xludf.DUMMYFUNCTION("""COMPUTED_VALUE"""),"Matutino/Manhã")</f>
        <v>Matutino/Manhã</v>
      </c>
      <c r="F30" s="95" t="str">
        <f>IFERROR(__xludf.DUMMYFUNCTION("""COMPUTED_VALUE"""),"Comum")</f>
        <v>Comum</v>
      </c>
      <c r="G30" s="95" t="str">
        <f>IFERROR(__xludf.DUMMYFUNCTION("""COMPUTED_VALUE"""),"2")</f>
        <v>2</v>
      </c>
      <c r="H30" s="95" t="str">
        <f>IFERROR(__xludf.DUMMYFUNCTION("""COMPUTED_VALUE"""),"26022386245")</f>
        <v>26022386245</v>
      </c>
      <c r="I30" s="103" t="str">
        <f>IFERROR(__xludf.DUMMYFUNCTION("""COMPUTED_VALUE"""),"04/02/2026 10:08:37")</f>
        <v>04/02/2026 10:08:37</v>
      </c>
      <c r="J30" s="95" t="str">
        <f>IFERROR(__xludf.DUMMYFUNCTION("""COMPUTED_VALUE"""),"MARIA VALLENTHINA SOPHIA NASCIMENTO")</f>
        <v>MARIA VALLENTHINA SOPHIA NASCIMENTO</v>
      </c>
      <c r="K30" s="95" t="str">
        <f>IFERROR(__xludf.DUMMYFUNCTION("""COMPUTED_VALUE"""),"180.367.124-66")</f>
        <v>180.367.124-66</v>
      </c>
      <c r="L30" s="104" t="str">
        <f>IFERROR(__xludf.DUMMYFUNCTION("""COMPUTED_VALUE"""),"04/02/2022")</f>
        <v>04/02/2022</v>
      </c>
      <c r="M30" s="106"/>
      <c r="N30" s="95" t="str">
        <f>IFERROR(__xludf.DUMMYFUNCTION("""COMPUTED_VALUE"""),"0")</f>
        <v>0</v>
      </c>
      <c r="O30" s="95"/>
      <c r="P30" s="95"/>
      <c r="Q30" s="95"/>
      <c r="R30" s="95"/>
      <c r="S30" s="95"/>
      <c r="T30" s="95"/>
      <c r="U30" s="95"/>
      <c r="V30" s="95"/>
      <c r="W30" s="95"/>
      <c r="X30" s="95"/>
      <c r="Y30" s="95"/>
      <c r="Z30" s="95"/>
      <c r="AA30" s="95"/>
      <c r="AB30" s="95"/>
      <c r="AC30" s="95"/>
    </row>
    <row r="31" ht="15.75" customHeight="1" spans="1:29">
      <c r="A31" s="95"/>
      <c r="B31" s="95" t="str">
        <f>VLOOKUP(C31,lista_id!$D$2:$F$152,3,0)</f>
        <v>REGIONAL 7</v>
      </c>
      <c r="C31" s="102" t="str">
        <f>IFERROR(__xludf.DUMMYFUNCTION("""COMPUTED_VALUE"""),"CEMEI JOÃO FERNANDES VIEIRA")</f>
        <v>CEMEI JOÃO FERNANDES VIEIRA</v>
      </c>
      <c r="D31" s="95" t="str">
        <f>IFERROR(__xludf.DUMMYFUNCTION("""COMPUTED_VALUE"""),"INFANTIL 4")</f>
        <v>INFANTIL 4</v>
      </c>
      <c r="E31" s="95" t="str">
        <f>IFERROR(__xludf.DUMMYFUNCTION("""COMPUTED_VALUE"""),"Vespertino/Tarde")</f>
        <v>Vespertino/Tarde</v>
      </c>
      <c r="F31" s="95" t="str">
        <f>IFERROR(__xludf.DUMMYFUNCTION("""COMPUTED_VALUE"""),"Comum")</f>
        <v>Comum</v>
      </c>
      <c r="G31" s="95" t="str">
        <f>IFERROR(__xludf.DUMMYFUNCTION("""COMPUTED_VALUE"""),"1")</f>
        <v>1</v>
      </c>
      <c r="H31" s="95" t="str">
        <f>IFERROR(__xludf.DUMMYFUNCTION("""COMPUTED_VALUE"""),"26012971328")</f>
        <v>26012971328</v>
      </c>
      <c r="I31" s="103" t="str">
        <f>IFERROR(__xludf.DUMMYFUNCTION("""COMPUTED_VALUE"""),"29/01/2026 12:10:37")</f>
        <v>29/01/2026 12:10:37</v>
      </c>
      <c r="J31" s="95" t="str">
        <f>IFERROR(__xludf.DUMMYFUNCTION("""COMPUTED_VALUE"""),"MARIA CLARA DA SILVA")</f>
        <v>MARIA CLARA DA SILVA</v>
      </c>
      <c r="K31" s="95" t="str">
        <f>IFERROR(__xludf.DUMMYFUNCTION("""COMPUTED_VALUE"""),"177.832.344-88")</f>
        <v>177.832.344-88</v>
      </c>
      <c r="L31" s="106" t="str">
        <f>IFERROR(__xludf.DUMMYFUNCTION("""COMPUTED_VALUE"""),"30/04/2021")</f>
        <v>30/04/2021</v>
      </c>
      <c r="M31" s="104"/>
      <c r="N31" s="95" t="str">
        <f>IFERROR(__xludf.DUMMYFUNCTION("""COMPUTED_VALUE"""),"0")</f>
        <v>0</v>
      </c>
      <c r="O31" s="95"/>
      <c r="P31" s="95"/>
      <c r="Q31" s="95"/>
      <c r="R31" s="95"/>
      <c r="S31" s="95"/>
      <c r="T31" s="95"/>
      <c r="U31" s="95"/>
      <c r="V31" s="95"/>
      <c r="W31" s="95"/>
      <c r="X31" s="95"/>
      <c r="Y31" s="95"/>
      <c r="Z31" s="95"/>
      <c r="AA31" s="95"/>
      <c r="AB31" s="95"/>
      <c r="AC31" s="95"/>
    </row>
    <row r="32" ht="15.75" customHeight="1" spans="1:29">
      <c r="A32" s="95"/>
      <c r="B32" s="95" t="str">
        <f>VLOOKUP(C32,lista_id!$D$2:$F$152,3,0)</f>
        <v>REGIONAL 7</v>
      </c>
      <c r="C32" s="102" t="str">
        <f>IFERROR(__xludf.DUMMYFUNCTION("""COMPUTED_VALUE"""),"CEMEI JOÃO FERNANDES VIEIRA")</f>
        <v>CEMEI JOÃO FERNANDES VIEIRA</v>
      </c>
      <c r="D32" s="95" t="str">
        <f>IFERROR(__xludf.DUMMYFUNCTION("""COMPUTED_VALUE"""),"INFANTIL 5")</f>
        <v>INFANTIL 5</v>
      </c>
      <c r="E32" s="95" t="str">
        <f>IFERROR(__xludf.DUMMYFUNCTION("""COMPUTED_VALUE"""),"Matutino/Manhã")</f>
        <v>Matutino/Manhã</v>
      </c>
      <c r="F32" s="95" t="str">
        <f>IFERROR(__xludf.DUMMYFUNCTION("""COMPUTED_VALUE"""),"Comum")</f>
        <v>Comum</v>
      </c>
      <c r="G32" s="95" t="str">
        <f>IFERROR(__xludf.DUMMYFUNCTION("""COMPUTED_VALUE"""),"1")</f>
        <v>1</v>
      </c>
      <c r="H32" s="95" t="str">
        <f>IFERROR(__xludf.DUMMYFUNCTION("""COMPUTED_VALUE"""),"26022172975")</f>
        <v>26022172975</v>
      </c>
      <c r="I32" s="103" t="str">
        <f>IFERROR(__xludf.DUMMYFUNCTION("""COMPUTED_VALUE"""),"02/02/2026 08:05:51")</f>
        <v>02/02/2026 08:05:51</v>
      </c>
      <c r="J32" s="95" t="str">
        <f>IFERROR(__xludf.DUMMYFUNCTION("""COMPUTED_VALUE"""),"GUILHERME BELO DA SILVA")</f>
        <v>GUILHERME BELO DA SILVA</v>
      </c>
      <c r="K32" s="95" t="str">
        <f>IFERROR(__xludf.DUMMYFUNCTION("""COMPUTED_VALUE"""),"171.947.514-88")</f>
        <v>171.947.514-88</v>
      </c>
      <c r="L32" s="104" t="str">
        <f>IFERROR(__xludf.DUMMYFUNCTION("""COMPUTED_VALUE"""),"21/05/2020")</f>
        <v>21/05/2020</v>
      </c>
      <c r="M32" s="104"/>
      <c r="N32" s="95" t="str">
        <f>IFERROR(__xludf.DUMMYFUNCTION("""COMPUTED_VALUE"""),"0")</f>
        <v>0</v>
      </c>
      <c r="O32" s="95"/>
      <c r="P32" s="95"/>
      <c r="Q32" s="95"/>
      <c r="R32" s="95"/>
      <c r="S32" s="95"/>
      <c r="T32" s="95"/>
      <c r="U32" s="95"/>
      <c r="V32" s="95"/>
      <c r="W32" s="95"/>
      <c r="X32" s="95"/>
      <c r="Y32" s="95"/>
      <c r="Z32" s="95"/>
      <c r="AA32" s="95"/>
      <c r="AB32" s="95"/>
      <c r="AC32" s="95"/>
    </row>
    <row r="33" ht="15.75" customHeight="1" spans="1:29">
      <c r="A33" s="95"/>
      <c r="B33" s="95" t="str">
        <f>VLOOKUP(C33,lista_id!$D$2:$F$152,3,0)</f>
        <v>REGIONAL 7</v>
      </c>
      <c r="C33" s="102" t="str">
        <f>IFERROR(__xludf.DUMMYFUNCTION("""COMPUTED_VALUE"""),"CEMEI JOÃO FERNANDES VIEIRA")</f>
        <v>CEMEI JOÃO FERNANDES VIEIRA</v>
      </c>
      <c r="D33" s="95" t="str">
        <f>IFERROR(__xludf.DUMMYFUNCTION("""COMPUTED_VALUE"""),"INFANTIL 5")</f>
        <v>INFANTIL 5</v>
      </c>
      <c r="E33" s="95" t="str">
        <f>IFERROR(__xludf.DUMMYFUNCTION("""COMPUTED_VALUE"""),"Matutino/Manhã")</f>
        <v>Matutino/Manhã</v>
      </c>
      <c r="F33" s="95" t="str">
        <f>IFERROR(__xludf.DUMMYFUNCTION("""COMPUTED_VALUE"""),"Comum")</f>
        <v>Comum</v>
      </c>
      <c r="G33" s="95" t="str">
        <f>IFERROR(__xludf.DUMMYFUNCTION("""COMPUTED_VALUE"""),"2")</f>
        <v>2</v>
      </c>
      <c r="H33" s="95" t="str">
        <f>IFERROR(__xludf.DUMMYFUNCTION("""COMPUTED_VALUE"""),"26022602142")</f>
        <v>26022602142</v>
      </c>
      <c r="I33" s="105" t="str">
        <f>IFERROR(__xludf.DUMMYFUNCTION("""COMPUTED_VALUE"""),"11/02/2026 11:23:05")</f>
        <v>11/02/2026 11:23:05</v>
      </c>
      <c r="J33" s="95" t="str">
        <f>IFERROR(__xludf.DUMMYFUNCTION("""COMPUTED_VALUE"""),"ANTHONNY GABRIEL DA SILVA")</f>
        <v>ANTHONNY GABRIEL DA SILVA</v>
      </c>
      <c r="K33" s="95" t="str">
        <f>IFERROR(__xludf.DUMMYFUNCTION("""COMPUTED_VALUE"""),"175.853.744-29")</f>
        <v>175.853.744-29</v>
      </c>
      <c r="L33" s="104" t="str">
        <f>IFERROR(__xludf.DUMMYFUNCTION("""COMPUTED_VALUE"""),"05/03/2021")</f>
        <v>05/03/2021</v>
      </c>
      <c r="M33" s="104"/>
      <c r="N33" s="95" t="str">
        <f>IFERROR(__xludf.DUMMYFUNCTION("""COMPUTED_VALUE"""),"0")</f>
        <v>0</v>
      </c>
      <c r="O33" s="95"/>
      <c r="P33" s="95"/>
      <c r="Q33" s="95"/>
      <c r="R33" s="95"/>
      <c r="S33" s="95"/>
      <c r="T33" s="95"/>
      <c r="U33" s="95"/>
      <c r="V33" s="95"/>
      <c r="W33" s="95"/>
      <c r="X33" s="95"/>
      <c r="Y33" s="95"/>
      <c r="Z33" s="95"/>
      <c r="AA33" s="95"/>
      <c r="AB33" s="95"/>
      <c r="AC33" s="95"/>
    </row>
    <row r="34" ht="15.75" customHeight="1" spans="1:29">
      <c r="A34" s="95"/>
      <c r="B34" s="95" t="str">
        <f>VLOOKUP(C34,lista_id!$D$2:$F$152,3,0)</f>
        <v>REGIONAL 7</v>
      </c>
      <c r="C34" s="102" t="str">
        <f>IFERROR(__xludf.DUMMYFUNCTION("""COMPUTED_VALUE"""),"CEMEI JOÃO FERNANDES VIEIRA")</f>
        <v>CEMEI JOÃO FERNANDES VIEIRA</v>
      </c>
      <c r="D34" s="95" t="str">
        <f>IFERROR(__xludf.DUMMYFUNCTION("""COMPUTED_VALUE"""),"INFANTIL 5")</f>
        <v>INFANTIL 5</v>
      </c>
      <c r="E34" s="95" t="str">
        <f>IFERROR(__xludf.DUMMYFUNCTION("""COMPUTED_VALUE"""),"Vespertino/Tarde")</f>
        <v>Vespertino/Tarde</v>
      </c>
      <c r="F34" s="95" t="str">
        <f>IFERROR(__xludf.DUMMYFUNCTION("""COMPUTED_VALUE"""),"Comum")</f>
        <v>Comum</v>
      </c>
      <c r="G34" s="95" t="str">
        <f>IFERROR(__xludf.DUMMYFUNCTION("""COMPUTED_VALUE"""),"1")</f>
        <v>1</v>
      </c>
      <c r="H34" s="95" t="str">
        <f>IFERROR(__xludf.DUMMYFUNCTION("""COMPUTED_VALUE"""),"26022751729")</f>
        <v>26022751729</v>
      </c>
      <c r="I34" s="105" t="str">
        <f>IFERROR(__xludf.DUMMYFUNCTION("""COMPUTED_VALUE"""),"01/02/2026 20:56:45")</f>
        <v>01/02/2026 20:56:45</v>
      </c>
      <c r="J34" s="95" t="str">
        <f>IFERROR(__xludf.DUMMYFUNCTION("""COMPUTED_VALUE"""),"ALLAN OLIVEIRA DE SOUSA MORAIS")</f>
        <v>ALLAN OLIVEIRA DE SOUSA MORAIS</v>
      </c>
      <c r="K34" s="95" t="str">
        <f>IFERROR(__xludf.DUMMYFUNCTION("""COMPUTED_VALUE"""),"173.607.454-70")</f>
        <v>173.607.454-70</v>
      </c>
      <c r="L34" s="104" t="str">
        <f>IFERROR(__xludf.DUMMYFUNCTION("""COMPUTED_VALUE"""),"01/10/2020")</f>
        <v>01/10/2020</v>
      </c>
      <c r="M34" s="104"/>
      <c r="N34" s="95" t="str">
        <f>IFERROR(__xludf.DUMMYFUNCTION("""COMPUTED_VALUE"""),"0")</f>
        <v>0</v>
      </c>
      <c r="O34" s="95"/>
      <c r="P34" s="95"/>
      <c r="Q34" s="95"/>
      <c r="R34" s="95"/>
      <c r="S34" s="95"/>
      <c r="T34" s="95"/>
      <c r="U34" s="95"/>
      <c r="V34" s="95"/>
      <c r="W34" s="95"/>
      <c r="X34" s="95"/>
      <c r="Y34" s="95"/>
      <c r="Z34" s="95"/>
      <c r="AA34" s="95"/>
      <c r="AB34" s="95"/>
      <c r="AC34" s="95"/>
    </row>
    <row r="35" ht="15.75" customHeight="1" spans="1:29">
      <c r="A35" s="95"/>
      <c r="B35" s="95" t="str">
        <f>VLOOKUP(C35,lista_id!$D$2:$F$152,3,0)</f>
        <v>REGIONAL 6</v>
      </c>
      <c r="C35" s="102" t="str">
        <f>IFERROR(__xludf.DUMMYFUNCTION("""COMPUTED_VALUE"""),"CEMEI LIGIA ARAUJO DE OLIVEIRA")</f>
        <v>CEMEI LIGIA ARAUJO DE OLIVEIRA</v>
      </c>
      <c r="D35" s="95" t="str">
        <f>IFERROR(__xludf.DUMMYFUNCTION("""COMPUTED_VALUE"""),"INFANTIL 1")</f>
        <v>INFANTIL 1</v>
      </c>
      <c r="E35" s="95" t="str">
        <f>IFERROR(__xludf.DUMMYFUNCTION("""COMPUTED_VALUE"""),"Integral")</f>
        <v>Integral</v>
      </c>
      <c r="F35" s="95" t="str">
        <f>IFERROR(__xludf.DUMMYFUNCTION("""COMPUTED_VALUE"""),"Comum")</f>
        <v>Comum</v>
      </c>
      <c r="G35" s="95" t="str">
        <f>IFERROR(__xludf.DUMMYFUNCTION("""COMPUTED_VALUE"""),"1")</f>
        <v>1</v>
      </c>
      <c r="H35" s="95" t="str">
        <f>IFERROR(__xludf.DUMMYFUNCTION("""COMPUTED_VALUE"""),"26032957457")</f>
        <v>26032957457</v>
      </c>
      <c r="I35" s="105" t="str">
        <f>IFERROR(__xludf.DUMMYFUNCTION("""COMPUTED_VALUE"""),"09/03/2026 17:29:00")</f>
        <v>09/03/2026 17:29:00</v>
      </c>
      <c r="J35" s="95" t="str">
        <f>IFERROR(__xludf.DUMMYFUNCTION("""COMPUTED_VALUE"""),"MIGUEL DE CARVALHO MELO CARDOSO")</f>
        <v>MIGUEL DE CARVALHO MELO CARDOSO</v>
      </c>
      <c r="K35" s="95" t="str">
        <f>IFERROR(__xludf.DUMMYFUNCTION("""COMPUTED_VALUE"""),"003.288.894-58")</f>
        <v>003.288.894-58</v>
      </c>
      <c r="L35" s="104" t="str">
        <f>IFERROR(__xludf.DUMMYFUNCTION("""COMPUTED_VALUE"""),"21/05/2024")</f>
        <v>21/05/2024</v>
      </c>
      <c r="M35" s="104"/>
      <c r="N35" s="95" t="str">
        <f>IFERROR(__xludf.DUMMYFUNCTION("""COMPUTED_VALUE"""),"0")</f>
        <v>0</v>
      </c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5"/>
      <c r="AA35" s="95"/>
      <c r="AB35" s="95"/>
      <c r="AC35" s="95"/>
    </row>
    <row r="36" ht="15.75" customHeight="1" spans="1:29">
      <c r="A36" s="95"/>
      <c r="B36" s="95" t="str">
        <f>VLOOKUP(C36,lista_id!$D$2:$F$152,3,0)</f>
        <v>REGIONAL 6</v>
      </c>
      <c r="C36" s="102" t="str">
        <f>IFERROR(__xludf.DUMMYFUNCTION("""COMPUTED_VALUE"""),"CEMEI LIGIA ARAUJO DE OLIVEIRA")</f>
        <v>CEMEI LIGIA ARAUJO DE OLIVEIRA</v>
      </c>
      <c r="D36" s="95" t="str">
        <f>IFERROR(__xludf.DUMMYFUNCTION("""COMPUTED_VALUE"""),"INFANTIL 1")</f>
        <v>INFANTIL 1</v>
      </c>
      <c r="E36" s="95" t="str">
        <f>IFERROR(__xludf.DUMMYFUNCTION("""COMPUTED_VALUE"""),"Integral")</f>
        <v>Integral</v>
      </c>
      <c r="F36" s="95" t="str">
        <f>IFERROR(__xludf.DUMMYFUNCTION("""COMPUTED_VALUE"""),"Comum")</f>
        <v>Comum</v>
      </c>
      <c r="G36" s="95" t="str">
        <f>IFERROR(__xludf.DUMMYFUNCTION("""COMPUTED_VALUE"""),"2")</f>
        <v>2</v>
      </c>
      <c r="H36" s="95" t="str">
        <f>IFERROR(__xludf.DUMMYFUNCTION("""COMPUTED_VALUE"""),"26032662209")</f>
        <v>26032662209</v>
      </c>
      <c r="I36" s="105" t="str">
        <f>IFERROR(__xludf.DUMMYFUNCTION("""COMPUTED_VALUE"""),"23/03/2026 19:01:28")</f>
        <v>23/03/2026 19:01:28</v>
      </c>
      <c r="J36" s="95" t="str">
        <f>IFERROR(__xludf.DUMMYFUNCTION("""COMPUTED_VALUE"""),"LIAN SALAZAR SERNA")</f>
        <v>LIAN SALAZAR SERNA</v>
      </c>
      <c r="K36" s="95" t="str">
        <f>IFERROR(__xludf.DUMMYFUNCTION("""COMPUTED_VALUE"""),"003.732.314-82")</f>
        <v>003.732.314-82</v>
      </c>
      <c r="L36" s="104" t="str">
        <f>IFERROR(__xludf.DUMMYFUNCTION("""COMPUTED_VALUE"""),"15/05/2024")</f>
        <v>15/05/2024</v>
      </c>
      <c r="M36" s="104"/>
      <c r="N36" s="95" t="str">
        <f>IFERROR(__xludf.DUMMYFUNCTION("""COMPUTED_VALUE"""),"0")</f>
        <v>0</v>
      </c>
      <c r="O36" s="95"/>
      <c r="P36" s="95"/>
      <c r="Q36" s="95"/>
      <c r="R36" s="95"/>
      <c r="S36" s="95"/>
      <c r="T36" s="95"/>
      <c r="U36" s="95"/>
      <c r="V36" s="95"/>
      <c r="W36" s="95"/>
      <c r="X36" s="95"/>
      <c r="Y36" s="95"/>
      <c r="Z36" s="95"/>
      <c r="AA36" s="95"/>
      <c r="AB36" s="95"/>
      <c r="AC36" s="95"/>
    </row>
    <row r="37" ht="15.75" customHeight="1" spans="1:29">
      <c r="A37" s="95"/>
      <c r="B37" s="95" t="str">
        <f>VLOOKUP(C37,lista_id!$D$2:$F$152,3,0)</f>
        <v>REGIONAL 6</v>
      </c>
      <c r="C37" s="102" t="str">
        <f>IFERROR(__xludf.DUMMYFUNCTION("""COMPUTED_VALUE"""),"CEMEI LIGIA ARAUJO DE OLIVEIRA")</f>
        <v>CEMEI LIGIA ARAUJO DE OLIVEIRA</v>
      </c>
      <c r="D37" s="95" t="str">
        <f>IFERROR(__xludf.DUMMYFUNCTION("""COMPUTED_VALUE"""),"INFANTIL 2")</f>
        <v>INFANTIL 2</v>
      </c>
      <c r="E37" s="95" t="str">
        <f>IFERROR(__xludf.DUMMYFUNCTION("""COMPUTED_VALUE"""),"Integral")</f>
        <v>Integral</v>
      </c>
      <c r="F37" s="95" t="str">
        <f>IFERROR(__xludf.DUMMYFUNCTION("""COMPUTED_VALUE"""),"Comum")</f>
        <v>Comum</v>
      </c>
      <c r="G37" s="95" t="str">
        <f>IFERROR(__xludf.DUMMYFUNCTION("""COMPUTED_VALUE"""),"1")</f>
        <v>1</v>
      </c>
      <c r="H37" s="95" t="str">
        <f>IFERROR(__xludf.DUMMYFUNCTION("""COMPUTED_VALUE"""),"26012747238")</f>
        <v>26012747238</v>
      </c>
      <c r="I37" s="105" t="str">
        <f>IFERROR(__xludf.DUMMYFUNCTION("""COMPUTED_VALUE"""),"28/01/2026 08:07:40")</f>
        <v>28/01/2026 08:07:40</v>
      </c>
      <c r="J37" s="95" t="str">
        <f>IFERROR(__xludf.DUMMYFUNCTION("""COMPUTED_VALUE"""),"ÍCARO MIGUEL ESPÍNDOLA DA SILVA")</f>
        <v>ÍCARO MIGUEL ESPÍNDOLA DA SILVA</v>
      </c>
      <c r="K37" s="95" t="str">
        <f>IFERROR(__xludf.DUMMYFUNCTION("""COMPUTED_VALUE"""),"001.566.454-67")</f>
        <v>001.566.454-67</v>
      </c>
      <c r="L37" s="104" t="str">
        <f>IFERROR(__xludf.DUMMYFUNCTION("""COMPUTED_VALUE"""),"19/08/2023")</f>
        <v>19/08/2023</v>
      </c>
      <c r="M37" s="104"/>
      <c r="N37" s="95" t="str">
        <f>IFERROR(__xludf.DUMMYFUNCTION("""COMPUTED_VALUE"""),"0")</f>
        <v>0</v>
      </c>
      <c r="O37" s="95"/>
      <c r="P37" s="95"/>
      <c r="Q37" s="95"/>
      <c r="R37" s="95"/>
      <c r="S37" s="95"/>
      <c r="T37" s="95"/>
      <c r="U37" s="95"/>
      <c r="V37" s="95"/>
      <c r="W37" s="95"/>
      <c r="X37" s="95"/>
      <c r="Y37" s="95"/>
      <c r="Z37" s="95"/>
      <c r="AA37" s="95"/>
      <c r="AB37" s="95"/>
      <c r="AC37" s="95"/>
    </row>
    <row r="38" ht="15.75" customHeight="1" spans="1:29">
      <c r="A38" s="95"/>
      <c r="B38" s="95" t="str">
        <f>VLOOKUP(C38,lista_id!$D$2:$F$152,3,0)</f>
        <v>REGIONAL 6</v>
      </c>
      <c r="C38" s="102" t="str">
        <f>IFERROR(__xludf.DUMMYFUNCTION("""COMPUTED_VALUE"""),"CEMEI LIGIA ARAUJO DE OLIVEIRA")</f>
        <v>CEMEI LIGIA ARAUJO DE OLIVEIRA</v>
      </c>
      <c r="D38" s="95" t="str">
        <f>IFERROR(__xludf.DUMMYFUNCTION("""COMPUTED_VALUE"""),"INFANTIL 2")</f>
        <v>INFANTIL 2</v>
      </c>
      <c r="E38" s="95" t="str">
        <f>IFERROR(__xludf.DUMMYFUNCTION("""COMPUTED_VALUE"""),"Integral")</f>
        <v>Integral</v>
      </c>
      <c r="F38" s="95" t="str">
        <f>IFERROR(__xludf.DUMMYFUNCTION("""COMPUTED_VALUE"""),"Comum")</f>
        <v>Comum</v>
      </c>
      <c r="G38" s="95" t="str">
        <f>IFERROR(__xludf.DUMMYFUNCTION("""COMPUTED_VALUE"""),"2")</f>
        <v>2</v>
      </c>
      <c r="H38" s="95" t="str">
        <f>IFERROR(__xludf.DUMMYFUNCTION("""COMPUTED_VALUE"""),"26012677600")</f>
        <v>26012677600</v>
      </c>
      <c r="I38" s="105" t="str">
        <f>IFERROR(__xludf.DUMMYFUNCTION("""COMPUTED_VALUE"""),"29/01/2026 10:35:38")</f>
        <v>29/01/2026 10:35:38</v>
      </c>
      <c r="J38" s="95" t="str">
        <f>IFERROR(__xludf.DUMMYFUNCTION("""COMPUTED_VALUE"""),"OLIVER HEITOR LINS LIRA")</f>
        <v>OLIVER HEITOR LINS LIRA</v>
      </c>
      <c r="K38" s="95" t="str">
        <f>IFERROR(__xludf.DUMMYFUNCTION("""COMPUTED_VALUE"""),"185.479.534-18")</f>
        <v>185.479.534-18</v>
      </c>
      <c r="L38" s="104" t="str">
        <f>IFERROR(__xludf.DUMMYFUNCTION("""COMPUTED_VALUE"""),"27/05/2023")</f>
        <v>27/05/2023</v>
      </c>
      <c r="M38" s="104"/>
      <c r="N38" s="95" t="str">
        <f>IFERROR(__xludf.DUMMYFUNCTION("""COMPUTED_VALUE"""),"0")</f>
        <v>0</v>
      </c>
      <c r="O38" s="95"/>
      <c r="P38" s="95"/>
      <c r="Q38" s="95"/>
      <c r="R38" s="95"/>
      <c r="S38" s="95"/>
      <c r="T38" s="95"/>
      <c r="U38" s="95"/>
      <c r="V38" s="95"/>
      <c r="W38" s="95"/>
      <c r="X38" s="95"/>
      <c r="Y38" s="95"/>
      <c r="Z38" s="95"/>
      <c r="AA38" s="95"/>
      <c r="AB38" s="95"/>
      <c r="AC38" s="95"/>
    </row>
    <row r="39" ht="15.75" customHeight="1" spans="1:29">
      <c r="A39" s="95"/>
      <c r="B39" s="95" t="str">
        <f>VLOOKUP(C39,lista_id!$D$2:$F$152,3,0)</f>
        <v>REGIONAL 6</v>
      </c>
      <c r="C39" s="102" t="str">
        <f>IFERROR(__xludf.DUMMYFUNCTION("""COMPUTED_VALUE"""),"CEMEI LIGIA ARAUJO DE OLIVEIRA")</f>
        <v>CEMEI LIGIA ARAUJO DE OLIVEIRA</v>
      </c>
      <c r="D39" s="95" t="str">
        <f>IFERROR(__xludf.DUMMYFUNCTION("""COMPUTED_VALUE"""),"INFANTIL 2")</f>
        <v>INFANTIL 2</v>
      </c>
      <c r="E39" s="95" t="str">
        <f>IFERROR(__xludf.DUMMYFUNCTION("""COMPUTED_VALUE"""),"Integral")</f>
        <v>Integral</v>
      </c>
      <c r="F39" s="95" t="str">
        <f>IFERROR(__xludf.DUMMYFUNCTION("""COMPUTED_VALUE"""),"Comum")</f>
        <v>Comum</v>
      </c>
      <c r="G39" s="95" t="str">
        <f>IFERROR(__xludf.DUMMYFUNCTION("""COMPUTED_VALUE"""),"3")</f>
        <v>3</v>
      </c>
      <c r="H39" s="95" t="str">
        <f>IFERROR(__xludf.DUMMYFUNCTION("""COMPUTED_VALUE"""),"26032167672")</f>
        <v>26032167672</v>
      </c>
      <c r="I39" s="105" t="str">
        <f>IFERROR(__xludf.DUMMYFUNCTION("""COMPUTED_VALUE"""),"11/03/2026 10:19:05")</f>
        <v>11/03/2026 10:19:05</v>
      </c>
      <c r="J39" s="95" t="str">
        <f>IFERROR(__xludf.DUMMYFUNCTION("""COMPUTED_VALUE"""),"ALISSON GABRIEL DOS SANTOS SILVA")</f>
        <v>ALISSON GABRIEL DOS SANTOS SILVA</v>
      </c>
      <c r="K39" s="95" t="str">
        <f>IFERROR(__xludf.DUMMYFUNCTION("""COMPUTED_VALUE"""),"001.878.044-00")</f>
        <v>001.878.044-00</v>
      </c>
      <c r="L39" s="104" t="str">
        <f>IFERROR(__xludf.DUMMYFUNCTION("""COMPUTED_VALUE"""),"30/12/2023")</f>
        <v>30/12/2023</v>
      </c>
      <c r="M39" s="104"/>
      <c r="N39" s="95" t="str">
        <f>IFERROR(__xludf.DUMMYFUNCTION("""COMPUTED_VALUE"""),"0")</f>
        <v>0</v>
      </c>
      <c r="O39" s="95"/>
      <c r="P39" s="95"/>
      <c r="Q39" s="95"/>
      <c r="R39" s="95"/>
      <c r="S39" s="95"/>
      <c r="T39" s="95"/>
      <c r="U39" s="95"/>
      <c r="V39" s="95"/>
      <c r="W39" s="95"/>
      <c r="X39" s="95"/>
      <c r="Y39" s="95"/>
      <c r="Z39" s="95"/>
      <c r="AA39" s="95"/>
      <c r="AB39" s="95"/>
      <c r="AC39" s="95"/>
    </row>
    <row r="40" ht="15.75" customHeight="1" spans="1:29">
      <c r="A40" s="95"/>
      <c r="B40" s="95" t="str">
        <f>VLOOKUP(C40,lista_id!$D$2:$F$152,3,0)</f>
        <v>REGIONAL 6</v>
      </c>
      <c r="C40" s="102" t="str">
        <f>IFERROR(__xludf.DUMMYFUNCTION("""COMPUTED_VALUE"""),"CEMEI LIGIA ARAUJO DE OLIVEIRA")</f>
        <v>CEMEI LIGIA ARAUJO DE OLIVEIRA</v>
      </c>
      <c r="D40" s="95" t="str">
        <f>IFERROR(__xludf.DUMMYFUNCTION("""COMPUTED_VALUE"""),"INFANTIL 2")</f>
        <v>INFANTIL 2</v>
      </c>
      <c r="E40" s="95" t="str">
        <f>IFERROR(__xludf.DUMMYFUNCTION("""COMPUTED_VALUE"""),"Integral")</f>
        <v>Integral</v>
      </c>
      <c r="F40" s="95" t="str">
        <f>IFERROR(__xludf.DUMMYFUNCTION("""COMPUTED_VALUE"""),"Comum")</f>
        <v>Comum</v>
      </c>
      <c r="G40" s="95" t="str">
        <f>IFERROR(__xludf.DUMMYFUNCTION("""COMPUTED_VALUE"""),"4")</f>
        <v>4</v>
      </c>
      <c r="H40" s="95" t="str">
        <f>IFERROR(__xludf.DUMMYFUNCTION("""COMPUTED_VALUE"""),"26042573900")</f>
        <v>26042573900</v>
      </c>
      <c r="I40" s="105" t="str">
        <f>IFERROR(__xludf.DUMMYFUNCTION("""COMPUTED_VALUE"""),"20/04/2026 12:53:45")</f>
        <v>20/04/2026 12:53:45</v>
      </c>
      <c r="J40" s="95" t="str">
        <f>IFERROR(__xludf.DUMMYFUNCTION("""COMPUTED_VALUE"""),"ISABELA MARIA DIAS DA SILVA")</f>
        <v>ISABELA MARIA DIAS DA SILVA</v>
      </c>
      <c r="K40" s="95" t="str">
        <f>IFERROR(__xludf.DUMMYFUNCTION("""COMPUTED_VALUE"""),"166.511.419-37")</f>
        <v>166.511.419-37</v>
      </c>
      <c r="L40" s="104" t="str">
        <f>IFERROR(__xludf.DUMMYFUNCTION("""COMPUTED_VALUE"""),"02/05/2023")</f>
        <v>02/05/2023</v>
      </c>
      <c r="M40" s="104"/>
      <c r="N40" s="95" t="str">
        <f>IFERROR(__xludf.DUMMYFUNCTION("""COMPUTED_VALUE"""),"0")</f>
        <v>0</v>
      </c>
      <c r="O40" s="95"/>
      <c r="P40" s="95"/>
      <c r="Q40" s="95"/>
      <c r="R40" s="95"/>
      <c r="S40" s="95"/>
      <c r="T40" s="95"/>
      <c r="U40" s="95"/>
      <c r="V40" s="95"/>
      <c r="W40" s="95"/>
      <c r="X40" s="95"/>
      <c r="Y40" s="95"/>
      <c r="Z40" s="95"/>
      <c r="AA40" s="95"/>
      <c r="AB40" s="95"/>
      <c r="AC40" s="95"/>
    </row>
    <row r="41" ht="15.75" customHeight="1" spans="1:29">
      <c r="A41" s="95"/>
      <c r="B41" s="95" t="str">
        <f>VLOOKUP(C41,lista_id!$D$2:$F$152,3,0)</f>
        <v>REGIONAL 6</v>
      </c>
      <c r="C41" s="102" t="str">
        <f>IFERROR(__xludf.DUMMYFUNCTION("""COMPUTED_VALUE"""),"CEMEI LIGIA ARAUJO DE OLIVEIRA")</f>
        <v>CEMEI LIGIA ARAUJO DE OLIVEIRA</v>
      </c>
      <c r="D41" s="95" t="str">
        <f>IFERROR(__xludf.DUMMYFUNCTION("""COMPUTED_VALUE"""),"INFANTIL 2")</f>
        <v>INFANTIL 2</v>
      </c>
      <c r="E41" s="95" t="str">
        <f>IFERROR(__xludf.DUMMYFUNCTION("""COMPUTED_VALUE"""),"Integral")</f>
        <v>Integral</v>
      </c>
      <c r="F41" s="95" t="str">
        <f>IFERROR(__xludf.DUMMYFUNCTION("""COMPUTED_VALUE"""),"Comum")</f>
        <v>Comum</v>
      </c>
      <c r="G41" s="95" t="str">
        <f>IFERROR(__xludf.DUMMYFUNCTION("""COMPUTED_VALUE"""),"5")</f>
        <v>5</v>
      </c>
      <c r="H41" s="95" t="str">
        <f>IFERROR(__xludf.DUMMYFUNCTION("""COMPUTED_VALUE"""),"26052223423")</f>
        <v>26052223423</v>
      </c>
      <c r="I41" s="105" t="str">
        <f>IFERROR(__xludf.DUMMYFUNCTION("""COMPUTED_VALUE"""),"08/05/2026 07:30:21")</f>
        <v>08/05/2026 07:30:21</v>
      </c>
      <c r="J41" s="95" t="str">
        <f>IFERROR(__xludf.DUMMYFUNCTION("""COMPUTED_VALUE"""),"HEITOR GABRIEL MARQUES DOS SANTOS")</f>
        <v>HEITOR GABRIEL MARQUES DOS SANTOS</v>
      </c>
      <c r="K41" s="95" t="str">
        <f>IFERROR(__xludf.DUMMYFUNCTION("""COMPUTED_VALUE"""),"185.759.414-29")</f>
        <v>185.759.414-29</v>
      </c>
      <c r="L41" s="106" t="str">
        <f>IFERROR(__xludf.DUMMYFUNCTION("""COMPUTED_VALUE"""),"20/05/2023")</f>
        <v>20/05/2023</v>
      </c>
      <c r="M41" s="104"/>
      <c r="N41" s="95" t="str">
        <f>IFERROR(__xludf.DUMMYFUNCTION("""COMPUTED_VALUE"""),"0")</f>
        <v>0</v>
      </c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95"/>
      <c r="AB41" s="95"/>
      <c r="AC41" s="95"/>
    </row>
    <row r="42" ht="15.75" customHeight="1" spans="1:29">
      <c r="A42" s="95"/>
      <c r="B42" s="95" t="str">
        <f>VLOOKUP(C42,lista_id!$D$2:$F$152,3,0)</f>
        <v>REGIONAL 6</v>
      </c>
      <c r="C42" s="102" t="str">
        <f>IFERROR(__xludf.DUMMYFUNCTION("""COMPUTED_VALUE"""),"CEMEI LIGIA ARAUJO DE OLIVEIRA")</f>
        <v>CEMEI LIGIA ARAUJO DE OLIVEIRA</v>
      </c>
      <c r="D42" s="95" t="str">
        <f>IFERROR(__xludf.DUMMYFUNCTION("""COMPUTED_VALUE"""),"INFANTIL 3")</f>
        <v>INFANTIL 3</v>
      </c>
      <c r="E42" s="95" t="str">
        <f>IFERROR(__xludf.DUMMYFUNCTION("""COMPUTED_VALUE"""),"Integral")</f>
        <v>Integral</v>
      </c>
      <c r="F42" s="95" t="str">
        <f>IFERROR(__xludf.DUMMYFUNCTION("""COMPUTED_VALUE"""),"Comum")</f>
        <v>Comum</v>
      </c>
      <c r="G42" s="95" t="str">
        <f>IFERROR(__xludf.DUMMYFUNCTION("""COMPUTED_VALUE"""),"1")</f>
        <v>1</v>
      </c>
      <c r="H42" s="95" t="str">
        <f>IFERROR(__xludf.DUMMYFUNCTION("""COMPUTED_VALUE"""),"26022419534")</f>
        <v>26022419534</v>
      </c>
      <c r="I42" s="103" t="str">
        <f>IFERROR(__xludf.DUMMYFUNCTION("""COMPUTED_VALUE"""),"03/02/2026 14:12:28")</f>
        <v>03/02/2026 14:12:28</v>
      </c>
      <c r="J42" s="95" t="str">
        <f>IFERROR(__xludf.DUMMYFUNCTION("""COMPUTED_VALUE"""),"AYLLA FERREIRA DA SILVA")</f>
        <v>AYLLA FERREIRA DA SILVA</v>
      </c>
      <c r="K42" s="95" t="str">
        <f>IFERROR(__xludf.DUMMYFUNCTION("""COMPUTED_VALUE"""),"183.532.494-05")</f>
        <v>183.532.494-05</v>
      </c>
      <c r="L42" s="104" t="str">
        <f>IFERROR(__xludf.DUMMYFUNCTION("""COMPUTED_VALUE"""),"22/11/2022")</f>
        <v>22/11/2022</v>
      </c>
      <c r="M42" s="104"/>
      <c r="N42" s="95" t="str">
        <f>IFERROR(__xludf.DUMMYFUNCTION("""COMPUTED_VALUE"""),"0")</f>
        <v>0</v>
      </c>
      <c r="O42" s="95"/>
      <c r="P42" s="95"/>
      <c r="Q42" s="95"/>
      <c r="R42" s="95"/>
      <c r="S42" s="95"/>
      <c r="T42" s="95"/>
      <c r="U42" s="95"/>
      <c r="V42" s="95"/>
      <c r="W42" s="95"/>
      <c r="X42" s="95"/>
      <c r="Y42" s="95"/>
      <c r="Z42" s="95"/>
      <c r="AA42" s="95"/>
      <c r="AB42" s="95"/>
      <c r="AC42" s="95"/>
    </row>
    <row r="43" ht="15.75" customHeight="1" spans="1:29">
      <c r="A43" s="95"/>
      <c r="B43" s="95" t="str">
        <f>VLOOKUP(C43,lista_id!$D$2:$F$152,3,0)</f>
        <v>REGIONAL 6</v>
      </c>
      <c r="C43" s="102" t="str">
        <f>IFERROR(__xludf.DUMMYFUNCTION("""COMPUTED_VALUE"""),"CEMEI LIGIA ARAUJO DE OLIVEIRA")</f>
        <v>CEMEI LIGIA ARAUJO DE OLIVEIRA</v>
      </c>
      <c r="D43" s="95" t="str">
        <f>IFERROR(__xludf.DUMMYFUNCTION("""COMPUTED_VALUE"""),"INFANTIL 3")</f>
        <v>INFANTIL 3</v>
      </c>
      <c r="E43" s="95" t="str">
        <f>IFERROR(__xludf.DUMMYFUNCTION("""COMPUTED_VALUE"""),"Integral")</f>
        <v>Integral</v>
      </c>
      <c r="F43" s="95" t="str">
        <f>IFERROR(__xludf.DUMMYFUNCTION("""COMPUTED_VALUE"""),"Comum")</f>
        <v>Comum</v>
      </c>
      <c r="G43" s="95" t="str">
        <f>IFERROR(__xludf.DUMMYFUNCTION("""COMPUTED_VALUE"""),"2")</f>
        <v>2</v>
      </c>
      <c r="H43" s="95" t="str">
        <f>IFERROR(__xludf.DUMMYFUNCTION("""COMPUTED_VALUE"""),"26022477473")</f>
        <v>26022477473</v>
      </c>
      <c r="I43" s="103" t="str">
        <f>IFERROR(__xludf.DUMMYFUNCTION("""COMPUTED_VALUE"""),"03/02/2026 14:18:57")</f>
        <v>03/02/2026 14:18:57</v>
      </c>
      <c r="J43" s="95" t="str">
        <f>IFERROR(__xludf.DUMMYFUNCTION("""COMPUTED_VALUE"""),"ALYCIA FERREIRA DA SILVA")</f>
        <v>ALYCIA FERREIRA DA SILVA</v>
      </c>
      <c r="K43" s="95" t="str">
        <f>IFERROR(__xludf.DUMMYFUNCTION("""COMPUTED_VALUE"""),"183.532.504-11")</f>
        <v>183.532.504-11</v>
      </c>
      <c r="L43" s="104" t="str">
        <f>IFERROR(__xludf.DUMMYFUNCTION("""COMPUTED_VALUE"""),"22/11/2022")</f>
        <v>22/11/2022</v>
      </c>
      <c r="M43" s="104"/>
      <c r="N43" s="95" t="str">
        <f>IFERROR(__xludf.DUMMYFUNCTION("""COMPUTED_VALUE"""),"0")</f>
        <v>0</v>
      </c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95"/>
      <c r="AB43" s="95"/>
      <c r="AC43" s="95"/>
    </row>
    <row r="44" ht="15.75" customHeight="1" spans="1:29">
      <c r="A44" s="95"/>
      <c r="B44" s="95" t="str">
        <f>VLOOKUP(C44,lista_id!$D$2:$F$152,3,0)</f>
        <v>REGIONAL 6</v>
      </c>
      <c r="C44" s="102" t="str">
        <f>IFERROR(__xludf.DUMMYFUNCTION("""COMPUTED_VALUE"""),"CEMEI LIGIA ARAUJO DE OLIVEIRA")</f>
        <v>CEMEI LIGIA ARAUJO DE OLIVEIRA</v>
      </c>
      <c r="D44" s="95" t="str">
        <f>IFERROR(__xludf.DUMMYFUNCTION("""COMPUTED_VALUE"""),"INFANTIL 3")</f>
        <v>INFANTIL 3</v>
      </c>
      <c r="E44" s="95" t="str">
        <f>IFERROR(__xludf.DUMMYFUNCTION("""COMPUTED_VALUE"""),"Integral")</f>
        <v>Integral</v>
      </c>
      <c r="F44" s="95" t="str">
        <f>IFERROR(__xludf.DUMMYFUNCTION("""COMPUTED_VALUE"""),"Comum")</f>
        <v>Comum</v>
      </c>
      <c r="G44" s="95" t="str">
        <f>IFERROR(__xludf.DUMMYFUNCTION("""COMPUTED_VALUE"""),"3")</f>
        <v>3</v>
      </c>
      <c r="H44" s="95" t="str">
        <f>IFERROR(__xludf.DUMMYFUNCTION("""COMPUTED_VALUE"""),"26022456645")</f>
        <v>26022456645</v>
      </c>
      <c r="I44" s="103" t="str">
        <f>IFERROR(__xludf.DUMMYFUNCTION("""COMPUTED_VALUE"""),"23/02/2026 20:39:24")</f>
        <v>23/02/2026 20:39:24</v>
      </c>
      <c r="J44" s="95" t="str">
        <f>IFERROR(__xludf.DUMMYFUNCTION("""COMPUTED_VALUE"""),"ABRAÃO EMANOEL PINHEIRO DA SILVA")</f>
        <v>ABRAÃO EMANOEL PINHEIRO DA SILVA</v>
      </c>
      <c r="K44" s="95" t="str">
        <f>IFERROR(__xludf.DUMMYFUNCTION("""COMPUTED_VALUE"""),"182.714.394-05")</f>
        <v>182.714.394-05</v>
      </c>
      <c r="L44" s="104" t="str">
        <f>IFERROR(__xludf.DUMMYFUNCTION("""COMPUTED_VALUE"""),"31/08/2022")</f>
        <v>31/08/2022</v>
      </c>
      <c r="M44" s="104"/>
      <c r="N44" s="95" t="str">
        <f>IFERROR(__xludf.DUMMYFUNCTION("""COMPUTED_VALUE"""),"0")</f>
        <v>0</v>
      </c>
      <c r="O44" s="95"/>
      <c r="P44" s="95"/>
      <c r="Q44" s="95"/>
      <c r="R44" s="95"/>
      <c r="S44" s="95"/>
      <c r="T44" s="95"/>
      <c r="U44" s="95"/>
      <c r="V44" s="95"/>
      <c r="W44" s="95"/>
      <c r="X44" s="95"/>
      <c r="Y44" s="95"/>
      <c r="Z44" s="95"/>
      <c r="AA44" s="95"/>
      <c r="AB44" s="95"/>
      <c r="AC44" s="95"/>
    </row>
    <row r="45" ht="15.75" customHeight="1" spans="1:29">
      <c r="A45" s="95"/>
      <c r="B45" s="95" t="str">
        <f>VLOOKUP(C45,lista_id!$D$2:$F$152,3,0)</f>
        <v>REGIONAL 5</v>
      </c>
      <c r="C45" s="102" t="str">
        <f>IFERROR(__xludf.DUMMYFUNCTION("""COMPUTED_VALUE"""),"CEMEI PROFª MARIA LUZIA RIO LIMA")</f>
        <v>CEMEI PROFª MARIA LUZIA RIO LIMA</v>
      </c>
      <c r="D45" s="95" t="str">
        <f>IFERROR(__xludf.DUMMYFUNCTION("""COMPUTED_VALUE"""),"INFANTIL 1")</f>
        <v>INFANTIL 1</v>
      </c>
      <c r="E45" s="95" t="str">
        <f>IFERROR(__xludf.DUMMYFUNCTION("""COMPUTED_VALUE"""),"Integral")</f>
        <v>Integral</v>
      </c>
      <c r="F45" s="95" t="str">
        <f>IFERROR(__xludf.DUMMYFUNCTION("""COMPUTED_VALUE"""),"Comum")</f>
        <v>Comum</v>
      </c>
      <c r="G45" s="95" t="str">
        <f>IFERROR(__xludf.DUMMYFUNCTION("""COMPUTED_VALUE"""),"1")</f>
        <v>1</v>
      </c>
      <c r="H45" s="95" t="str">
        <f>IFERROR(__xludf.DUMMYFUNCTION("""COMPUTED_VALUE"""),"26032132321")</f>
        <v>26032132321</v>
      </c>
      <c r="I45" s="103" t="str">
        <f>IFERROR(__xludf.DUMMYFUNCTION("""COMPUTED_VALUE"""),"19/03/2026 08:28:18")</f>
        <v>19/03/2026 08:28:18</v>
      </c>
      <c r="J45" s="95" t="str">
        <f>IFERROR(__xludf.DUMMYFUNCTION("""COMPUTED_VALUE"""),"MARIA CLARA DE LIMA")</f>
        <v>MARIA CLARA DE LIMA</v>
      </c>
      <c r="K45" s="95" t="str">
        <f>IFERROR(__xludf.DUMMYFUNCTION("""COMPUTED_VALUE"""),"004.995.084-32")</f>
        <v>004.995.084-32</v>
      </c>
      <c r="L45" s="104" t="str">
        <f>IFERROR(__xludf.DUMMYFUNCTION("""COMPUTED_VALUE"""),"16/12/2024")</f>
        <v>16/12/2024</v>
      </c>
      <c r="M45" s="104"/>
      <c r="N45" s="95" t="str">
        <f>IFERROR(__xludf.DUMMYFUNCTION("""COMPUTED_VALUE"""),"0")</f>
        <v>0</v>
      </c>
      <c r="O45" s="95"/>
      <c r="P45" s="95"/>
      <c r="Q45" s="95"/>
      <c r="R45" s="95"/>
      <c r="S45" s="95"/>
      <c r="T45" s="95"/>
      <c r="U45" s="95"/>
      <c r="V45" s="95"/>
      <c r="W45" s="95"/>
      <c r="X45" s="95"/>
      <c r="Y45" s="95"/>
      <c r="Z45" s="95"/>
      <c r="AA45" s="95"/>
      <c r="AB45" s="95"/>
      <c r="AC45" s="95"/>
    </row>
    <row r="46" ht="15.75" customHeight="1" spans="1:29">
      <c r="A46" s="95"/>
      <c r="B46" s="95" t="str">
        <f>VLOOKUP(C46,lista_id!$D$2:$F$152,3,0)</f>
        <v>REGIONAL 5</v>
      </c>
      <c r="C46" s="102" t="str">
        <f>IFERROR(__xludf.DUMMYFUNCTION("""COMPUTED_VALUE"""),"CEMEI PROFª MARIA LUZIA RIO LIMA")</f>
        <v>CEMEI PROFª MARIA LUZIA RIO LIMA</v>
      </c>
      <c r="D46" s="95" t="str">
        <f>IFERROR(__xludf.DUMMYFUNCTION("""COMPUTED_VALUE"""),"INFANTIL 1")</f>
        <v>INFANTIL 1</v>
      </c>
      <c r="E46" s="95" t="str">
        <f>IFERROR(__xludf.DUMMYFUNCTION("""COMPUTED_VALUE"""),"Integral")</f>
        <v>Integral</v>
      </c>
      <c r="F46" s="95" t="str">
        <f>IFERROR(__xludf.DUMMYFUNCTION("""COMPUTED_VALUE"""),"Comum")</f>
        <v>Comum</v>
      </c>
      <c r="G46" s="95" t="str">
        <f>IFERROR(__xludf.DUMMYFUNCTION("""COMPUTED_VALUE"""),"2")</f>
        <v>2</v>
      </c>
      <c r="H46" s="95" t="str">
        <f>IFERROR(__xludf.DUMMYFUNCTION("""COMPUTED_VALUE"""),"26032131066")</f>
        <v>26032131066</v>
      </c>
      <c r="I46" s="105" t="str">
        <f>IFERROR(__xludf.DUMMYFUNCTION("""COMPUTED_VALUE"""),"19/03/2026 08:46:18")</f>
        <v>19/03/2026 08:46:18</v>
      </c>
      <c r="J46" s="95" t="str">
        <f>IFERROR(__xludf.DUMMYFUNCTION("""COMPUTED_VALUE"""),"MARIA FLOR DE LIMA")</f>
        <v>MARIA FLOR DE LIMA</v>
      </c>
      <c r="K46" s="95" t="str">
        <f>IFERROR(__xludf.DUMMYFUNCTION("""COMPUTED_VALUE"""),"004.995.534-97")</f>
        <v>004.995.534-97</v>
      </c>
      <c r="L46" s="104" t="str">
        <f>IFERROR(__xludf.DUMMYFUNCTION("""COMPUTED_VALUE"""),"16/12/2024")</f>
        <v>16/12/2024</v>
      </c>
      <c r="M46" s="106"/>
      <c r="N46" s="95" t="str">
        <f>IFERROR(__xludf.DUMMYFUNCTION("""COMPUTED_VALUE"""),"0")</f>
        <v>0</v>
      </c>
      <c r="O46" s="95"/>
      <c r="P46" s="95"/>
      <c r="Q46" s="95"/>
      <c r="R46" s="95"/>
      <c r="S46" s="95"/>
      <c r="T46" s="95"/>
      <c r="U46" s="95"/>
      <c r="V46" s="95"/>
      <c r="W46" s="95"/>
      <c r="X46" s="95"/>
      <c r="Y46" s="95"/>
      <c r="Z46" s="95"/>
      <c r="AA46" s="95"/>
      <c r="AB46" s="95"/>
      <c r="AC46" s="95"/>
    </row>
    <row r="47" ht="15.75" customHeight="1" spans="1:29">
      <c r="A47" s="95"/>
      <c r="B47" s="95" t="str">
        <f>VLOOKUP(C47,lista_id!$D$2:$F$152,3,0)</f>
        <v>REGIONAL 5</v>
      </c>
      <c r="C47" s="102" t="str">
        <f>IFERROR(__xludf.DUMMYFUNCTION("""COMPUTED_VALUE"""),"CEMEI PROFª MARIA LUZIA RIO LIMA")</f>
        <v>CEMEI PROFª MARIA LUZIA RIO LIMA</v>
      </c>
      <c r="D47" s="95" t="str">
        <f>IFERROR(__xludf.DUMMYFUNCTION("""COMPUTED_VALUE"""),"INFANTIL 1")</f>
        <v>INFANTIL 1</v>
      </c>
      <c r="E47" s="95" t="str">
        <f>IFERROR(__xludf.DUMMYFUNCTION("""COMPUTED_VALUE"""),"Integral")</f>
        <v>Integral</v>
      </c>
      <c r="F47" s="95" t="str">
        <f>IFERROR(__xludf.DUMMYFUNCTION("""COMPUTED_VALUE"""),"Comum")</f>
        <v>Comum</v>
      </c>
      <c r="G47" s="95" t="str">
        <f>IFERROR(__xludf.DUMMYFUNCTION("""COMPUTED_VALUE"""),"3")</f>
        <v>3</v>
      </c>
      <c r="H47" s="95" t="str">
        <f>IFERROR(__xludf.DUMMYFUNCTION("""COMPUTED_VALUE"""),"26052596009")</f>
        <v>26052596009</v>
      </c>
      <c r="I47" s="105" t="str">
        <f>IFERROR(__xludf.DUMMYFUNCTION("""COMPUTED_VALUE"""),"06/05/2026 15:38:45")</f>
        <v>06/05/2026 15:38:45</v>
      </c>
      <c r="J47" s="95" t="str">
        <f>IFERROR(__xludf.DUMMYFUNCTION("""COMPUTED_VALUE"""),"EMANUEL LUCAS FAUSTINO DA SILVA")</f>
        <v>EMANUEL LUCAS FAUSTINO DA SILVA</v>
      </c>
      <c r="K47" s="95" t="str">
        <f>IFERROR(__xludf.DUMMYFUNCTION("""COMPUTED_VALUE"""),"118.065.824-81")</f>
        <v>118.065.824-81</v>
      </c>
      <c r="L47" s="106" t="str">
        <f>IFERROR(__xludf.DUMMYFUNCTION("""COMPUTED_VALUE"""),"05/09/2024")</f>
        <v>05/09/2024</v>
      </c>
      <c r="M47" s="104"/>
      <c r="N47" s="95" t="str">
        <f>IFERROR(__xludf.DUMMYFUNCTION("""COMPUTED_VALUE"""),"0")</f>
        <v>0</v>
      </c>
      <c r="O47" s="95"/>
      <c r="P47" s="95"/>
      <c r="Q47" s="95"/>
      <c r="R47" s="95"/>
      <c r="S47" s="95"/>
      <c r="T47" s="95"/>
      <c r="U47" s="95"/>
      <c r="V47" s="95"/>
      <c r="W47" s="95"/>
      <c r="X47" s="95"/>
      <c r="Y47" s="95"/>
      <c r="Z47" s="95"/>
      <c r="AA47" s="95"/>
      <c r="AB47" s="95"/>
      <c r="AC47" s="95"/>
    </row>
    <row r="48" ht="15.75" customHeight="1" spans="1:29">
      <c r="A48" s="95"/>
      <c r="B48" s="95" t="str">
        <f>VLOOKUP(C48,lista_id!$D$2:$F$152,3,0)</f>
        <v>REGIONAL 7</v>
      </c>
      <c r="C48" s="102" t="str">
        <f>IFERROR(__xludf.DUMMYFUNCTION("""COMPUTED_VALUE"""),"CEMEI PROFESSORA CIBELE DE ANDRADE MENDES DE AZEVEDO")</f>
        <v>CEMEI PROFESSORA CIBELE DE ANDRADE MENDES DE AZEVEDO</v>
      </c>
      <c r="D48" s="95" t="str">
        <f>IFERROR(__xludf.DUMMYFUNCTION("""COMPUTED_VALUE"""),"INFANTIL 1")</f>
        <v>INFANTIL 1</v>
      </c>
      <c r="E48" s="95" t="str">
        <f>IFERROR(__xludf.DUMMYFUNCTION("""COMPUTED_VALUE"""),"Integral")</f>
        <v>Integral</v>
      </c>
      <c r="F48" s="95" t="str">
        <f>IFERROR(__xludf.DUMMYFUNCTION("""COMPUTED_VALUE"""),"Comum")</f>
        <v>Comum</v>
      </c>
      <c r="G48" s="95" t="str">
        <f>IFERROR(__xludf.DUMMYFUNCTION("""COMPUTED_VALUE"""),"1")</f>
        <v>1</v>
      </c>
      <c r="H48" s="95" t="str">
        <f>IFERROR(__xludf.DUMMYFUNCTION("""COMPUTED_VALUE"""),"26012382955")</f>
        <v>26012382955</v>
      </c>
      <c r="I48" s="105" t="str">
        <f>IFERROR(__xludf.DUMMYFUNCTION("""COMPUTED_VALUE"""),"28/01/2026 16:24:17")</f>
        <v>28/01/2026 16:24:17</v>
      </c>
      <c r="J48" s="95" t="str">
        <f>IFERROR(__xludf.DUMMYFUNCTION("""COMPUTED_VALUE"""),"DAVID APOLLO DA SILVA SANTOS")</f>
        <v>DAVID APOLLO DA SILVA SANTOS</v>
      </c>
      <c r="K48" s="95" t="str">
        <f>IFERROR(__xludf.DUMMYFUNCTION("""COMPUTED_VALUE"""),"003.716.684-09")</f>
        <v>003.716.684-09</v>
      </c>
      <c r="L48" s="104" t="str">
        <f>IFERROR(__xludf.DUMMYFUNCTION("""COMPUTED_VALUE"""),"31/07/2024")</f>
        <v>31/07/2024</v>
      </c>
      <c r="M48" s="104"/>
      <c r="N48" s="95" t="str">
        <f>IFERROR(__xludf.DUMMYFUNCTION("""COMPUTED_VALUE"""),"0")</f>
        <v>0</v>
      </c>
      <c r="O48" s="95"/>
      <c r="P48" s="95"/>
      <c r="Q48" s="95"/>
      <c r="R48" s="95"/>
      <c r="S48" s="95"/>
      <c r="T48" s="95"/>
      <c r="U48" s="95"/>
      <c r="V48" s="95"/>
      <c r="W48" s="95"/>
      <c r="X48" s="95"/>
      <c r="Y48" s="95"/>
      <c r="Z48" s="95"/>
      <c r="AA48" s="95"/>
      <c r="AB48" s="95"/>
      <c r="AC48" s="95"/>
    </row>
    <row r="49" ht="15.75" customHeight="1" spans="1:29">
      <c r="A49" s="95"/>
      <c r="B49" s="95" t="str">
        <f>VLOOKUP(C49,lista_id!$D$2:$F$152,3,0)</f>
        <v>REGIONAL 7</v>
      </c>
      <c r="C49" s="102" t="str">
        <f>IFERROR(__xludf.DUMMYFUNCTION("""COMPUTED_VALUE"""),"CEMEI PROFESSORA CIBELE DE ANDRADE MENDES DE AZEVEDO")</f>
        <v>CEMEI PROFESSORA CIBELE DE ANDRADE MENDES DE AZEVEDO</v>
      </c>
      <c r="D49" s="95" t="str">
        <f>IFERROR(__xludf.DUMMYFUNCTION("""COMPUTED_VALUE"""),"INFANTIL 1")</f>
        <v>INFANTIL 1</v>
      </c>
      <c r="E49" s="95" t="str">
        <f>IFERROR(__xludf.DUMMYFUNCTION("""COMPUTED_VALUE"""),"Integral")</f>
        <v>Integral</v>
      </c>
      <c r="F49" s="95" t="str">
        <f>IFERROR(__xludf.DUMMYFUNCTION("""COMPUTED_VALUE"""),"Comum")</f>
        <v>Comum</v>
      </c>
      <c r="G49" s="95" t="str">
        <f>IFERROR(__xludf.DUMMYFUNCTION("""COMPUTED_VALUE"""),"2")</f>
        <v>2</v>
      </c>
      <c r="H49" s="95" t="str">
        <f>IFERROR(__xludf.DUMMYFUNCTION("""COMPUTED_VALUE"""),"26022090824")</f>
        <v>26022090824</v>
      </c>
      <c r="I49" s="105" t="str">
        <f>IFERROR(__xludf.DUMMYFUNCTION("""COMPUTED_VALUE"""),"02/02/2026 09:13:57")</f>
        <v>02/02/2026 09:13:57</v>
      </c>
      <c r="J49" s="95" t="str">
        <f>IFERROR(__xludf.DUMMYFUNCTION("""COMPUTED_VALUE"""),"ÍSIS POLYANA SOARES RAMOS")</f>
        <v>ÍSIS POLYANA SOARES RAMOS</v>
      </c>
      <c r="K49" s="95" t="str">
        <f>IFERROR(__xludf.DUMMYFUNCTION("""COMPUTED_VALUE"""),"041.104.474-53")</f>
        <v>041.104.474-53</v>
      </c>
      <c r="L49" s="104" t="str">
        <f>IFERROR(__xludf.DUMMYFUNCTION("""COMPUTED_VALUE"""),"17/01/2026")</f>
        <v>17/01/2026</v>
      </c>
      <c r="M49" s="104"/>
      <c r="N49" s="95" t="str">
        <f>IFERROR(__xludf.DUMMYFUNCTION("""COMPUTED_VALUE"""),"0")</f>
        <v>0</v>
      </c>
      <c r="O49" s="95"/>
      <c r="P49" s="95"/>
      <c r="Q49" s="95"/>
      <c r="R49" s="95"/>
      <c r="S49" s="95"/>
      <c r="T49" s="95"/>
      <c r="U49" s="95"/>
      <c r="V49" s="95"/>
      <c r="W49" s="95"/>
      <c r="X49" s="95"/>
      <c r="Y49" s="95"/>
      <c r="Z49" s="95"/>
      <c r="AA49" s="95"/>
      <c r="AB49" s="95"/>
      <c r="AC49" s="95"/>
    </row>
    <row r="50" ht="15.75" customHeight="1" spans="1:29">
      <c r="A50" s="95"/>
      <c r="B50" s="95" t="str">
        <f>VLOOKUP(C50,lista_id!$D$2:$F$152,3,0)</f>
        <v>REGIONAL 7</v>
      </c>
      <c r="C50" s="102" t="str">
        <f>IFERROR(__xludf.DUMMYFUNCTION("""COMPUTED_VALUE"""),"CEMEI PROFESSORA CIBELE DE ANDRADE MENDES DE AZEVEDO")</f>
        <v>CEMEI PROFESSORA CIBELE DE ANDRADE MENDES DE AZEVEDO</v>
      </c>
      <c r="D50" s="95" t="str">
        <f>IFERROR(__xludf.DUMMYFUNCTION("""COMPUTED_VALUE"""),"INFANTIL 1")</f>
        <v>INFANTIL 1</v>
      </c>
      <c r="E50" s="95" t="str">
        <f>IFERROR(__xludf.DUMMYFUNCTION("""COMPUTED_VALUE"""),"Integral")</f>
        <v>Integral</v>
      </c>
      <c r="F50" s="95" t="str">
        <f>IFERROR(__xludf.DUMMYFUNCTION("""COMPUTED_VALUE"""),"Comum")</f>
        <v>Comum</v>
      </c>
      <c r="G50" s="95" t="str">
        <f>IFERROR(__xludf.DUMMYFUNCTION("""COMPUTED_VALUE"""),"3")</f>
        <v>3</v>
      </c>
      <c r="H50" s="95" t="str">
        <f>IFERROR(__xludf.DUMMYFUNCTION("""COMPUTED_VALUE"""),"26022986363")</f>
        <v>26022986363</v>
      </c>
      <c r="I50" s="105" t="str">
        <f>IFERROR(__xludf.DUMMYFUNCTION("""COMPUTED_VALUE"""),"04/02/2026 08:52:54")</f>
        <v>04/02/2026 08:52:54</v>
      </c>
      <c r="J50" s="95" t="str">
        <f>IFERROR(__xludf.DUMMYFUNCTION("""COMPUTED_VALUE"""),"RENAN JOSÉ DA SILVA")</f>
        <v>RENAN JOSÉ DA SILVA</v>
      </c>
      <c r="K50" s="95" t="str">
        <f>IFERROR(__xludf.DUMMYFUNCTION("""COMPUTED_VALUE"""),"003.612.264-54")</f>
        <v>003.612.264-54</v>
      </c>
      <c r="L50" s="104" t="str">
        <f>IFERROR(__xludf.DUMMYFUNCTION("""COMPUTED_VALUE"""),"18/04/2024")</f>
        <v>18/04/2024</v>
      </c>
      <c r="M50" s="104"/>
      <c r="N50" s="95" t="str">
        <f>IFERROR(__xludf.DUMMYFUNCTION("""COMPUTED_VALUE"""),"0")</f>
        <v>0</v>
      </c>
      <c r="O50" s="95"/>
      <c r="P50" s="95"/>
      <c r="Q50" s="95"/>
      <c r="R50" s="95"/>
      <c r="S50" s="95"/>
      <c r="T50" s="95"/>
      <c r="U50" s="95"/>
      <c r="V50" s="95"/>
      <c r="W50" s="95"/>
      <c r="X50" s="95"/>
      <c r="Y50" s="95"/>
      <c r="Z50" s="95"/>
      <c r="AA50" s="95"/>
      <c r="AB50" s="95"/>
      <c r="AC50" s="95"/>
    </row>
    <row r="51" ht="15.75" customHeight="1" spans="1:29">
      <c r="A51" s="95"/>
      <c r="B51" s="95" t="str">
        <f>VLOOKUP(C51,lista_id!$D$2:$F$152,3,0)</f>
        <v>REGIONAL 7</v>
      </c>
      <c r="C51" s="102" t="str">
        <f>IFERROR(__xludf.DUMMYFUNCTION("""COMPUTED_VALUE"""),"CEMEI PROFESSORA CIBELE DE ANDRADE MENDES DE AZEVEDO")</f>
        <v>CEMEI PROFESSORA CIBELE DE ANDRADE MENDES DE AZEVEDO</v>
      </c>
      <c r="D51" s="95" t="str">
        <f>IFERROR(__xludf.DUMMYFUNCTION("""COMPUTED_VALUE"""),"INFANTIL 1")</f>
        <v>INFANTIL 1</v>
      </c>
      <c r="E51" s="95" t="str">
        <f>IFERROR(__xludf.DUMMYFUNCTION("""COMPUTED_VALUE"""),"Integral")</f>
        <v>Integral</v>
      </c>
      <c r="F51" s="95" t="str">
        <f>IFERROR(__xludf.DUMMYFUNCTION("""COMPUTED_VALUE"""),"Comum")</f>
        <v>Comum</v>
      </c>
      <c r="G51" s="95" t="str">
        <f>IFERROR(__xludf.DUMMYFUNCTION("""COMPUTED_VALUE"""),"4")</f>
        <v>4</v>
      </c>
      <c r="H51" s="95" t="str">
        <f>IFERROR(__xludf.DUMMYFUNCTION("""COMPUTED_VALUE"""),"26022051060")</f>
        <v>26022051060</v>
      </c>
      <c r="I51" s="103" t="str">
        <f>IFERROR(__xludf.DUMMYFUNCTION("""COMPUTED_VALUE"""),"05/02/2026 12:22:17")</f>
        <v>05/02/2026 12:22:17</v>
      </c>
      <c r="J51" s="95" t="str">
        <f>IFERROR(__xludf.DUMMYFUNCTION("""COMPUTED_VALUE"""),"ELLOÁH JASMIN NASCIMENTO DA SILVA")</f>
        <v>ELLOÁH JASMIN NASCIMENTO DA SILVA</v>
      </c>
      <c r="K51" s="95" t="str">
        <f>IFERROR(__xludf.DUMMYFUNCTION("""COMPUTED_VALUE"""),"003.964.064-75")</f>
        <v>003.964.064-75</v>
      </c>
      <c r="L51" s="106" t="str">
        <f>IFERROR(__xludf.DUMMYFUNCTION("""COMPUTED_VALUE"""),"12/08/2024")</f>
        <v>12/08/2024</v>
      </c>
      <c r="M51" s="104"/>
      <c r="N51" s="95" t="str">
        <f>IFERROR(__xludf.DUMMYFUNCTION("""COMPUTED_VALUE"""),"0")</f>
        <v>0</v>
      </c>
      <c r="O51" s="95"/>
      <c r="P51" s="95"/>
      <c r="Q51" s="95"/>
      <c r="R51" s="95"/>
      <c r="S51" s="95"/>
      <c r="T51" s="95"/>
      <c r="U51" s="95"/>
      <c r="V51" s="95"/>
      <c r="W51" s="95"/>
      <c r="X51" s="95"/>
      <c r="Y51" s="95"/>
      <c r="Z51" s="95"/>
      <c r="AA51" s="95"/>
      <c r="AB51" s="95"/>
      <c r="AC51" s="95"/>
    </row>
    <row r="52" ht="15.75" customHeight="1" spans="1:29">
      <c r="A52" s="95"/>
      <c r="B52" s="95" t="str">
        <f>VLOOKUP(C52,lista_id!$D$2:$F$152,3,0)</f>
        <v>REGIONAL 7</v>
      </c>
      <c r="C52" s="102" t="str">
        <f>IFERROR(__xludf.DUMMYFUNCTION("""COMPUTED_VALUE"""),"CEMEI PROFESSORA CIBELE DE ANDRADE MENDES DE AZEVEDO")</f>
        <v>CEMEI PROFESSORA CIBELE DE ANDRADE MENDES DE AZEVEDO</v>
      </c>
      <c r="D52" s="95" t="str">
        <f>IFERROR(__xludf.DUMMYFUNCTION("""COMPUTED_VALUE"""),"INFANTIL 1")</f>
        <v>INFANTIL 1</v>
      </c>
      <c r="E52" s="95" t="str">
        <f>IFERROR(__xludf.DUMMYFUNCTION("""COMPUTED_VALUE"""),"Integral")</f>
        <v>Integral</v>
      </c>
      <c r="F52" s="95" t="str">
        <f>IFERROR(__xludf.DUMMYFUNCTION("""COMPUTED_VALUE"""),"Comum")</f>
        <v>Comum</v>
      </c>
      <c r="G52" s="95" t="str">
        <f>IFERROR(__xludf.DUMMYFUNCTION("""COMPUTED_VALUE"""),"5")</f>
        <v>5</v>
      </c>
      <c r="H52" s="95" t="str">
        <f>IFERROR(__xludf.DUMMYFUNCTION("""COMPUTED_VALUE"""),"26022579804")</f>
        <v>26022579804</v>
      </c>
      <c r="I52" s="105" t="str">
        <f>IFERROR(__xludf.DUMMYFUNCTION("""COMPUTED_VALUE"""),"05/02/2026 13:29:32")</f>
        <v>05/02/2026 13:29:32</v>
      </c>
      <c r="J52" s="95" t="str">
        <f>IFERROR(__xludf.DUMMYFUNCTION("""COMPUTED_VALUE"""),"OLIVER LICKS DE ALMEIDA")</f>
        <v>OLIVER LICKS DE ALMEIDA</v>
      </c>
      <c r="K52" s="95" t="str">
        <f>IFERROR(__xludf.DUMMYFUNCTION("""COMPUTED_VALUE"""),"002.966.174-90")</f>
        <v>002.966.174-90</v>
      </c>
      <c r="L52" s="104" t="str">
        <f>IFERROR(__xludf.DUMMYFUNCTION("""COMPUTED_VALUE"""),"16/05/2024")</f>
        <v>16/05/2024</v>
      </c>
      <c r="M52" s="104"/>
      <c r="N52" s="95" t="str">
        <f>IFERROR(__xludf.DUMMYFUNCTION("""COMPUTED_VALUE"""),"0")</f>
        <v>0</v>
      </c>
      <c r="O52" s="95"/>
      <c r="P52" s="95"/>
      <c r="Q52" s="95"/>
      <c r="R52" s="95"/>
      <c r="S52" s="95"/>
      <c r="T52" s="95"/>
      <c r="U52" s="95"/>
      <c r="V52" s="95"/>
      <c r="W52" s="95"/>
      <c r="X52" s="95"/>
      <c r="Y52" s="95"/>
      <c r="Z52" s="95"/>
      <c r="AA52" s="95"/>
      <c r="AB52" s="95"/>
      <c r="AC52" s="95"/>
    </row>
    <row r="53" ht="15.75" customHeight="1" spans="1:29">
      <c r="A53" s="95"/>
      <c r="B53" s="95" t="str">
        <f>VLOOKUP(C53,lista_id!$D$2:$F$152,3,0)</f>
        <v>REGIONAL 7</v>
      </c>
      <c r="C53" s="102" t="str">
        <f>IFERROR(__xludf.DUMMYFUNCTION("""COMPUTED_VALUE"""),"CEMEI PROFESSORA CIBELE DE ANDRADE MENDES DE AZEVEDO")</f>
        <v>CEMEI PROFESSORA CIBELE DE ANDRADE MENDES DE AZEVEDO</v>
      </c>
      <c r="D53" s="95" t="str">
        <f>IFERROR(__xludf.DUMMYFUNCTION("""COMPUTED_VALUE"""),"INFANTIL 1")</f>
        <v>INFANTIL 1</v>
      </c>
      <c r="E53" s="95" t="str">
        <f>IFERROR(__xludf.DUMMYFUNCTION("""COMPUTED_VALUE"""),"Integral")</f>
        <v>Integral</v>
      </c>
      <c r="F53" s="95" t="str">
        <f>IFERROR(__xludf.DUMMYFUNCTION("""COMPUTED_VALUE"""),"Comum")</f>
        <v>Comum</v>
      </c>
      <c r="G53" s="95" t="str">
        <f>IFERROR(__xludf.DUMMYFUNCTION("""COMPUTED_VALUE"""),"6")</f>
        <v>6</v>
      </c>
      <c r="H53" s="95" t="str">
        <f>IFERROR(__xludf.DUMMYFUNCTION("""COMPUTED_VALUE"""),"26022646352")</f>
        <v>26022646352</v>
      </c>
      <c r="I53" s="105" t="str">
        <f>IFERROR(__xludf.DUMMYFUNCTION("""COMPUTED_VALUE"""),"05/02/2026 15:38:24")</f>
        <v>05/02/2026 15:38:24</v>
      </c>
      <c r="J53" s="95" t="str">
        <f>IFERROR(__xludf.DUMMYFUNCTION("""COMPUTED_VALUE"""),"THOMAS ENRICO RODRIGUES DE BARROS")</f>
        <v>THOMAS ENRICO RODRIGUES DE BARROS</v>
      </c>
      <c r="K53" s="95" t="str">
        <f>IFERROR(__xludf.DUMMYFUNCTION("""COMPUTED_VALUE"""),"003.082.134-75")</f>
        <v>003.082.134-75</v>
      </c>
      <c r="L53" s="104" t="str">
        <f>IFERROR(__xludf.DUMMYFUNCTION("""COMPUTED_VALUE"""),"19/05/2024")</f>
        <v>19/05/2024</v>
      </c>
      <c r="M53" s="104"/>
      <c r="N53" s="95" t="str">
        <f>IFERROR(__xludf.DUMMYFUNCTION("""COMPUTED_VALUE"""),"0")</f>
        <v>0</v>
      </c>
      <c r="O53" s="95"/>
      <c r="P53" s="95"/>
      <c r="Q53" s="95"/>
      <c r="R53" s="95"/>
      <c r="S53" s="95"/>
      <c r="T53" s="95"/>
      <c r="U53" s="95"/>
      <c r="V53" s="95"/>
      <c r="W53" s="95"/>
      <c r="X53" s="95"/>
      <c r="Y53" s="95"/>
      <c r="Z53" s="95"/>
      <c r="AA53" s="95"/>
      <c r="AB53" s="95"/>
      <c r="AC53" s="95"/>
    </row>
    <row r="54" ht="15.75" customHeight="1" spans="1:29">
      <c r="A54" s="95"/>
      <c r="B54" s="95" t="str">
        <f>VLOOKUP(C54,lista_id!$D$2:$F$152,3,0)</f>
        <v>REGIONAL 7</v>
      </c>
      <c r="C54" s="102" t="str">
        <f>IFERROR(__xludf.DUMMYFUNCTION("""COMPUTED_VALUE"""),"CEMEI PROFESSORA CIBELE DE ANDRADE MENDES DE AZEVEDO")</f>
        <v>CEMEI PROFESSORA CIBELE DE ANDRADE MENDES DE AZEVEDO</v>
      </c>
      <c r="D54" s="95" t="str">
        <f>IFERROR(__xludf.DUMMYFUNCTION("""COMPUTED_VALUE"""),"INFANTIL 1")</f>
        <v>INFANTIL 1</v>
      </c>
      <c r="E54" s="95" t="str">
        <f>IFERROR(__xludf.DUMMYFUNCTION("""COMPUTED_VALUE"""),"Integral")</f>
        <v>Integral</v>
      </c>
      <c r="F54" s="95" t="str">
        <f>IFERROR(__xludf.DUMMYFUNCTION("""COMPUTED_VALUE"""),"Comum")</f>
        <v>Comum</v>
      </c>
      <c r="G54" s="95" t="str">
        <f>IFERROR(__xludf.DUMMYFUNCTION("""COMPUTED_VALUE"""),"7")</f>
        <v>7</v>
      </c>
      <c r="H54" s="95" t="str">
        <f>IFERROR(__xludf.DUMMYFUNCTION("""COMPUTED_VALUE"""),"26022733712")</f>
        <v>26022733712</v>
      </c>
      <c r="I54" s="105" t="str">
        <f>IFERROR(__xludf.DUMMYFUNCTION("""COMPUTED_VALUE"""),"05/02/2026 20:35:45")</f>
        <v>05/02/2026 20:35:45</v>
      </c>
      <c r="J54" s="95" t="str">
        <f>IFERROR(__xludf.DUMMYFUNCTION("""COMPUTED_VALUE"""),"YASMIM BEATRIZ DA SILVA ADRIÃO")</f>
        <v>YASMIM BEATRIZ DA SILVA ADRIÃO</v>
      </c>
      <c r="K54" s="95" t="str">
        <f>IFERROR(__xludf.DUMMYFUNCTION("""COMPUTED_VALUE"""),"005.732.894-33")</f>
        <v>005.732.894-33</v>
      </c>
      <c r="L54" s="104" t="str">
        <f>IFERROR(__xludf.DUMMYFUNCTION("""COMPUTED_VALUE"""),"14/03/2025")</f>
        <v>14/03/2025</v>
      </c>
      <c r="M54" s="104"/>
      <c r="N54" s="95" t="str">
        <f>IFERROR(__xludf.DUMMYFUNCTION("""COMPUTED_VALUE"""),"0")</f>
        <v>0</v>
      </c>
      <c r="O54" s="95"/>
      <c r="P54" s="95"/>
      <c r="Q54" s="95"/>
      <c r="R54" s="95"/>
      <c r="S54" s="95"/>
      <c r="T54" s="95"/>
      <c r="U54" s="95"/>
      <c r="V54" s="95"/>
      <c r="W54" s="95"/>
      <c r="X54" s="95"/>
      <c r="Y54" s="95"/>
      <c r="Z54" s="95"/>
      <c r="AA54" s="95"/>
      <c r="AB54" s="95"/>
      <c r="AC54" s="95"/>
    </row>
    <row r="55" ht="15.75" customHeight="1" spans="1:29">
      <c r="A55" s="95"/>
      <c r="B55" s="95" t="str">
        <f>VLOOKUP(C55,lista_id!$D$2:$F$152,3,0)</f>
        <v>REGIONAL 7</v>
      </c>
      <c r="C55" s="102" t="str">
        <f>IFERROR(__xludf.DUMMYFUNCTION("""COMPUTED_VALUE"""),"CEMEI PROFESSORA CIBELE DE ANDRADE MENDES DE AZEVEDO")</f>
        <v>CEMEI PROFESSORA CIBELE DE ANDRADE MENDES DE AZEVEDO</v>
      </c>
      <c r="D55" s="95" t="str">
        <f>IFERROR(__xludf.DUMMYFUNCTION("""COMPUTED_VALUE"""),"INFANTIL 1")</f>
        <v>INFANTIL 1</v>
      </c>
      <c r="E55" s="95" t="str">
        <f>IFERROR(__xludf.DUMMYFUNCTION("""COMPUTED_VALUE"""),"Integral")</f>
        <v>Integral</v>
      </c>
      <c r="F55" s="95" t="str">
        <f>IFERROR(__xludf.DUMMYFUNCTION("""COMPUTED_VALUE"""),"Comum")</f>
        <v>Comum</v>
      </c>
      <c r="G55" s="95" t="str">
        <f>IFERROR(__xludf.DUMMYFUNCTION("""COMPUTED_VALUE"""),"8")</f>
        <v>8</v>
      </c>
      <c r="H55" s="95" t="str">
        <f>IFERROR(__xludf.DUMMYFUNCTION("""COMPUTED_VALUE"""),"26022056129")</f>
        <v>26022056129</v>
      </c>
      <c r="I55" s="105" t="str">
        <f>IFERROR(__xludf.DUMMYFUNCTION("""COMPUTED_VALUE"""),"23/02/2026 14:03:33")</f>
        <v>23/02/2026 14:03:33</v>
      </c>
      <c r="J55" s="95" t="str">
        <f>IFERROR(__xludf.DUMMYFUNCTION("""COMPUTED_VALUE"""),"EMANUELLY SOFIA DA SILVA")</f>
        <v>EMANUELLY SOFIA DA SILVA</v>
      </c>
      <c r="K55" s="95" t="str">
        <f>IFERROR(__xludf.DUMMYFUNCTION("""COMPUTED_VALUE"""),"002.714.984-63")</f>
        <v>002.714.984-63</v>
      </c>
      <c r="L55" s="104" t="str">
        <f>IFERROR(__xludf.DUMMYFUNCTION("""COMPUTED_VALUE"""),"10/04/2024")</f>
        <v>10/04/2024</v>
      </c>
      <c r="M55" s="104"/>
      <c r="N55" s="95" t="str">
        <f>IFERROR(__xludf.DUMMYFUNCTION("""COMPUTED_VALUE"""),"0")</f>
        <v>0</v>
      </c>
      <c r="O55" s="95"/>
      <c r="P55" s="95"/>
      <c r="Q55" s="95"/>
      <c r="R55" s="95"/>
      <c r="S55" s="95"/>
      <c r="T55" s="95"/>
      <c r="U55" s="95"/>
      <c r="V55" s="95"/>
      <c r="W55" s="95"/>
      <c r="X55" s="95"/>
      <c r="Y55" s="95"/>
      <c r="Z55" s="95"/>
      <c r="AA55" s="95"/>
      <c r="AB55" s="95"/>
      <c r="AC55" s="95"/>
    </row>
    <row r="56" ht="15.75" customHeight="1" spans="1:29">
      <c r="A56" s="95"/>
      <c r="B56" s="95" t="str">
        <f>VLOOKUP(C56,lista_id!$D$2:$F$152,3,0)</f>
        <v>REGIONAL 7</v>
      </c>
      <c r="C56" s="102" t="str">
        <f>IFERROR(__xludf.DUMMYFUNCTION("""COMPUTED_VALUE"""),"CEMEI PROFESSORA CIBELE DE ANDRADE MENDES DE AZEVEDO")</f>
        <v>CEMEI PROFESSORA CIBELE DE ANDRADE MENDES DE AZEVEDO</v>
      </c>
      <c r="D56" s="95" t="str">
        <f>IFERROR(__xludf.DUMMYFUNCTION("""COMPUTED_VALUE"""),"INFANTIL 1")</f>
        <v>INFANTIL 1</v>
      </c>
      <c r="E56" s="95" t="str">
        <f>IFERROR(__xludf.DUMMYFUNCTION("""COMPUTED_VALUE"""),"Integral")</f>
        <v>Integral</v>
      </c>
      <c r="F56" s="95" t="str">
        <f>IFERROR(__xludf.DUMMYFUNCTION("""COMPUTED_VALUE"""),"Comum")</f>
        <v>Comum</v>
      </c>
      <c r="G56" s="95" t="str">
        <f>IFERROR(__xludf.DUMMYFUNCTION("""COMPUTED_VALUE"""),"9")</f>
        <v>9</v>
      </c>
      <c r="H56" s="95" t="str">
        <f>IFERROR(__xludf.DUMMYFUNCTION("""COMPUTED_VALUE"""),"26032949306")</f>
        <v>26032949306</v>
      </c>
      <c r="I56" s="105" t="str">
        <f>IFERROR(__xludf.DUMMYFUNCTION("""COMPUTED_VALUE"""),"16/03/2026 10:09:54")</f>
        <v>16/03/2026 10:09:54</v>
      </c>
      <c r="J56" s="95" t="str">
        <f>IFERROR(__xludf.DUMMYFUNCTION("""COMPUTED_VALUE"""),"HELENA MARIA CAVALCANTI MARTINS TORRES")</f>
        <v>HELENA MARIA CAVALCANTI MARTINS TORRES</v>
      </c>
      <c r="K56" s="95" t="str">
        <f>IFERROR(__xludf.DUMMYFUNCTION("""COMPUTED_VALUE"""),"002.611.704-57")</f>
        <v>002.611.704-57</v>
      </c>
      <c r="L56" s="104" t="str">
        <f>IFERROR(__xludf.DUMMYFUNCTION("""COMPUTED_VALUE"""),"15/04/2024")</f>
        <v>15/04/2024</v>
      </c>
      <c r="M56" s="106"/>
      <c r="N56" s="95" t="str">
        <f>IFERROR(__xludf.DUMMYFUNCTION("""COMPUTED_VALUE"""),"0")</f>
        <v>0</v>
      </c>
      <c r="O56" s="95"/>
      <c r="P56" s="95"/>
      <c r="Q56" s="95"/>
      <c r="R56" s="95"/>
      <c r="S56" s="95"/>
      <c r="T56" s="95"/>
      <c r="U56" s="95"/>
      <c r="V56" s="95"/>
      <c r="W56" s="95"/>
      <c r="X56" s="95"/>
      <c r="Y56" s="95"/>
      <c r="Z56" s="95"/>
      <c r="AA56" s="95"/>
      <c r="AB56" s="95"/>
      <c r="AC56" s="95"/>
    </row>
    <row r="57" ht="15.75" customHeight="1" spans="1:29">
      <c r="A57" s="95"/>
      <c r="B57" s="95" t="str">
        <f>VLOOKUP(C57,lista_id!$D$2:$F$152,3,0)</f>
        <v>REGIONAL 7</v>
      </c>
      <c r="C57" s="102" t="str">
        <f>IFERROR(__xludf.DUMMYFUNCTION("""COMPUTED_VALUE"""),"CEMEI PROFESSORA CIBELE DE ANDRADE MENDES DE AZEVEDO")</f>
        <v>CEMEI PROFESSORA CIBELE DE ANDRADE MENDES DE AZEVEDO</v>
      </c>
      <c r="D57" s="95" t="str">
        <f>IFERROR(__xludf.DUMMYFUNCTION("""COMPUTED_VALUE"""),"INFANTIL 1")</f>
        <v>INFANTIL 1</v>
      </c>
      <c r="E57" s="95" t="str">
        <f>IFERROR(__xludf.DUMMYFUNCTION("""COMPUTED_VALUE"""),"Integral")</f>
        <v>Integral</v>
      </c>
      <c r="F57" s="95" t="str">
        <f>IFERROR(__xludf.DUMMYFUNCTION("""COMPUTED_VALUE"""),"Comum")</f>
        <v>Comum</v>
      </c>
      <c r="G57" s="95" t="str">
        <f>IFERROR(__xludf.DUMMYFUNCTION("""COMPUTED_VALUE"""),"10")</f>
        <v>10</v>
      </c>
      <c r="H57" s="95" t="str">
        <f>IFERROR(__xludf.DUMMYFUNCTION("""COMPUTED_VALUE"""),"26032567893")</f>
        <v>26032567893</v>
      </c>
      <c r="I57" s="105" t="str">
        <f>IFERROR(__xludf.DUMMYFUNCTION("""COMPUTED_VALUE"""),"18/03/2026 12:28:10")</f>
        <v>18/03/2026 12:28:10</v>
      </c>
      <c r="J57" s="95" t="str">
        <f>IFERROR(__xludf.DUMMYFUNCTION("""COMPUTED_VALUE"""),"LAVI EMANUEL SIQUEIRA DA SILVA")</f>
        <v>LAVI EMANUEL SIQUEIRA DA SILVA</v>
      </c>
      <c r="K57" s="95" t="str">
        <f>IFERROR(__xludf.DUMMYFUNCTION("""COMPUTED_VALUE"""),"045.571.744-34")</f>
        <v>045.571.744-34</v>
      </c>
      <c r="L57" s="104" t="str">
        <f>IFERROR(__xludf.DUMMYFUNCTION("""COMPUTED_VALUE"""),"19/01/2026")</f>
        <v>19/01/2026</v>
      </c>
      <c r="M57" s="104"/>
      <c r="N57" s="95" t="str">
        <f>IFERROR(__xludf.DUMMYFUNCTION("""COMPUTED_VALUE"""),"0")</f>
        <v>0</v>
      </c>
      <c r="O57" s="95"/>
      <c r="P57" s="95"/>
      <c r="Q57" s="95"/>
      <c r="R57" s="95"/>
      <c r="S57" s="95"/>
      <c r="T57" s="95"/>
      <c r="U57" s="95"/>
      <c r="V57" s="95"/>
      <c r="W57" s="95"/>
      <c r="X57" s="95"/>
      <c r="Y57" s="95"/>
      <c r="Z57" s="95"/>
      <c r="AA57" s="95"/>
      <c r="AB57" s="95"/>
      <c r="AC57" s="95"/>
    </row>
    <row r="58" ht="15.75" customHeight="1" spans="1:29">
      <c r="A58" s="95"/>
      <c r="B58" s="95" t="str">
        <f>VLOOKUP(C58,lista_id!$D$2:$F$152,3,0)</f>
        <v>REGIONAL 7</v>
      </c>
      <c r="C58" s="102" t="str">
        <f>IFERROR(__xludf.DUMMYFUNCTION("""COMPUTED_VALUE"""),"CEMEI PROFESSORA CIBELE DE ANDRADE MENDES DE AZEVEDO")</f>
        <v>CEMEI PROFESSORA CIBELE DE ANDRADE MENDES DE AZEVEDO</v>
      </c>
      <c r="D58" s="95" t="str">
        <f>IFERROR(__xludf.DUMMYFUNCTION("""COMPUTED_VALUE"""),"INFANTIL 1")</f>
        <v>INFANTIL 1</v>
      </c>
      <c r="E58" s="95" t="str">
        <f>IFERROR(__xludf.DUMMYFUNCTION("""COMPUTED_VALUE"""),"Integral")</f>
        <v>Integral</v>
      </c>
      <c r="F58" s="95" t="str">
        <f>IFERROR(__xludf.DUMMYFUNCTION("""COMPUTED_VALUE"""),"Comum")</f>
        <v>Comum</v>
      </c>
      <c r="G58" s="95" t="str">
        <f>IFERROR(__xludf.DUMMYFUNCTION("""COMPUTED_VALUE"""),"11")</f>
        <v>11</v>
      </c>
      <c r="H58" s="95" t="str">
        <f>IFERROR(__xludf.DUMMYFUNCTION("""COMPUTED_VALUE"""),"26032563347")</f>
        <v>26032563347</v>
      </c>
      <c r="I58" s="105" t="str">
        <f>IFERROR(__xludf.DUMMYFUNCTION("""COMPUTED_VALUE"""),"26/03/2026 18:22:32")</f>
        <v>26/03/2026 18:22:32</v>
      </c>
      <c r="J58" s="95" t="str">
        <f>IFERROR(__xludf.DUMMYFUNCTION("""COMPUTED_VALUE"""),"AYLA MANUELLE ALMEIDA DURVAL BRISSANTT")</f>
        <v>AYLA MANUELLE ALMEIDA DURVAL BRISSANTT</v>
      </c>
      <c r="K58" s="95" t="str">
        <f>IFERROR(__xludf.DUMMYFUNCTION("""COMPUTED_VALUE"""),"004.727.814-56")</f>
        <v>004.727.814-56</v>
      </c>
      <c r="L58" s="104" t="str">
        <f>IFERROR(__xludf.DUMMYFUNCTION("""COMPUTED_VALUE"""),"20/11/2024")</f>
        <v>20/11/2024</v>
      </c>
      <c r="M58" s="104"/>
      <c r="N58" s="95" t="str">
        <f>IFERROR(__xludf.DUMMYFUNCTION("""COMPUTED_VALUE"""),"0")</f>
        <v>0</v>
      </c>
      <c r="O58" s="95"/>
      <c r="P58" s="95"/>
      <c r="Q58" s="95"/>
      <c r="R58" s="95"/>
      <c r="S58" s="95"/>
      <c r="T58" s="95"/>
      <c r="U58" s="95"/>
      <c r="V58" s="95"/>
      <c r="W58" s="95"/>
      <c r="X58" s="95"/>
      <c r="Y58" s="95"/>
      <c r="Z58" s="95"/>
      <c r="AA58" s="95"/>
      <c r="AB58" s="95"/>
      <c r="AC58" s="95"/>
    </row>
    <row r="59" ht="15.75" customHeight="1" spans="1:29">
      <c r="A59" s="95"/>
      <c r="B59" s="95" t="str">
        <f>VLOOKUP(C59,lista_id!$D$2:$F$152,3,0)</f>
        <v>REGIONAL 7</v>
      </c>
      <c r="C59" s="102" t="str">
        <f>IFERROR(__xludf.DUMMYFUNCTION("""COMPUTED_VALUE"""),"CEMEI PROFESSORA CIBELE DE ANDRADE MENDES DE AZEVEDO")</f>
        <v>CEMEI PROFESSORA CIBELE DE ANDRADE MENDES DE AZEVEDO</v>
      </c>
      <c r="D59" s="95" t="str">
        <f>IFERROR(__xludf.DUMMYFUNCTION("""COMPUTED_VALUE"""),"INFANTIL 1")</f>
        <v>INFANTIL 1</v>
      </c>
      <c r="E59" s="95" t="str">
        <f>IFERROR(__xludf.DUMMYFUNCTION("""COMPUTED_VALUE"""),"Integral")</f>
        <v>Integral</v>
      </c>
      <c r="F59" s="95" t="str">
        <f>IFERROR(__xludf.DUMMYFUNCTION("""COMPUTED_VALUE"""),"Comum")</f>
        <v>Comum</v>
      </c>
      <c r="G59" s="95" t="str">
        <f>IFERROR(__xludf.DUMMYFUNCTION("""COMPUTED_VALUE"""),"12")</f>
        <v>12</v>
      </c>
      <c r="H59" s="95" t="str">
        <f>IFERROR(__xludf.DUMMYFUNCTION("""COMPUTED_VALUE"""),"26042763377")</f>
        <v>26042763377</v>
      </c>
      <c r="I59" s="103" t="str">
        <f>IFERROR(__xludf.DUMMYFUNCTION("""COMPUTED_VALUE"""),"29/04/2026 15:44:18")</f>
        <v>29/04/2026 15:44:18</v>
      </c>
      <c r="J59" s="95" t="str">
        <f>IFERROR(__xludf.DUMMYFUNCTION("""COMPUTED_VALUE"""),"AYLA SOFIA CORREIA DE LIMA")</f>
        <v>AYLA SOFIA CORREIA DE LIMA</v>
      </c>
      <c r="K59" s="95" t="str">
        <f>IFERROR(__xludf.DUMMYFUNCTION("""COMPUTED_VALUE"""),"006.122.294-16")</f>
        <v>006.122.294-16</v>
      </c>
      <c r="L59" s="104" t="str">
        <f>IFERROR(__xludf.DUMMYFUNCTION("""COMPUTED_VALUE"""),"06/05/2025")</f>
        <v>06/05/2025</v>
      </c>
      <c r="M59" s="104"/>
      <c r="N59" s="95" t="str">
        <f>IFERROR(__xludf.DUMMYFUNCTION("""COMPUTED_VALUE"""),"0")</f>
        <v>0</v>
      </c>
      <c r="O59" s="95"/>
      <c r="P59" s="95"/>
      <c r="Q59" s="95"/>
      <c r="R59" s="95"/>
      <c r="S59" s="95"/>
      <c r="T59" s="95"/>
      <c r="U59" s="95"/>
      <c r="V59" s="95"/>
      <c r="W59" s="95"/>
      <c r="X59" s="95"/>
      <c r="Y59" s="95"/>
      <c r="Z59" s="95"/>
      <c r="AA59" s="95"/>
      <c r="AB59" s="95"/>
      <c r="AC59" s="95"/>
    </row>
    <row r="60" ht="15.75" customHeight="1" spans="1:29">
      <c r="A60" s="95"/>
      <c r="B60" s="95" t="str">
        <f>VLOOKUP(C60,lista_id!$D$2:$F$152,3,0)</f>
        <v>REGIONAL 7</v>
      </c>
      <c r="C60" s="102" t="str">
        <f>IFERROR(__xludf.DUMMYFUNCTION("""COMPUTED_VALUE"""),"CEMEI PROFESSORA CIBELE DE ANDRADE MENDES DE AZEVEDO")</f>
        <v>CEMEI PROFESSORA CIBELE DE ANDRADE MENDES DE AZEVEDO</v>
      </c>
      <c r="D60" s="95" t="str">
        <f>IFERROR(__xludf.DUMMYFUNCTION("""COMPUTED_VALUE"""),"INFANTIL 1")</f>
        <v>INFANTIL 1</v>
      </c>
      <c r="E60" s="95" t="str">
        <f>IFERROR(__xludf.DUMMYFUNCTION("""COMPUTED_VALUE"""),"Integral")</f>
        <v>Integral</v>
      </c>
      <c r="F60" s="95" t="str">
        <f>IFERROR(__xludf.DUMMYFUNCTION("""COMPUTED_VALUE"""),"Comum")</f>
        <v>Comum</v>
      </c>
      <c r="G60" s="95" t="str">
        <f>IFERROR(__xludf.DUMMYFUNCTION("""COMPUTED_VALUE"""),"13")</f>
        <v>13</v>
      </c>
      <c r="H60" s="95" t="str">
        <f>IFERROR(__xludf.DUMMYFUNCTION("""COMPUTED_VALUE"""),"26052821025")</f>
        <v>26052821025</v>
      </c>
      <c r="I60" s="103" t="str">
        <f>IFERROR(__xludf.DUMMYFUNCTION("""COMPUTED_VALUE"""),"19/05/2026 10:34:49")</f>
        <v>19/05/2026 10:34:49</v>
      </c>
      <c r="J60" s="95" t="str">
        <f>IFERROR(__xludf.DUMMYFUNCTION("""COMPUTED_VALUE"""),"HARIEL CRUZ CAMPOS")</f>
        <v>HARIEL CRUZ CAMPOS</v>
      </c>
      <c r="K60" s="95" t="str">
        <f>IFERROR(__xludf.DUMMYFUNCTION("""COMPUTED_VALUE"""),"017.444.294-72")</f>
        <v>017.444.294-72</v>
      </c>
      <c r="L60" s="104" t="str">
        <f>IFERROR(__xludf.DUMMYFUNCTION("""COMPUTED_VALUE"""),"25/10/2025")</f>
        <v>25/10/2025</v>
      </c>
      <c r="M60" s="104"/>
      <c r="N60" s="95" t="str">
        <f>IFERROR(__xludf.DUMMYFUNCTION("""COMPUTED_VALUE"""),"0")</f>
        <v>0</v>
      </c>
      <c r="O60" s="95"/>
      <c r="P60" s="95"/>
      <c r="Q60" s="95"/>
      <c r="R60" s="95"/>
      <c r="S60" s="95"/>
      <c r="T60" s="95"/>
      <c r="U60" s="95"/>
      <c r="V60" s="95"/>
      <c r="W60" s="95"/>
      <c r="X60" s="95"/>
      <c r="Y60" s="95"/>
      <c r="Z60" s="95"/>
      <c r="AA60" s="95"/>
      <c r="AB60" s="95"/>
      <c r="AC60" s="95"/>
    </row>
    <row r="61" ht="15.75" customHeight="1" spans="1:29">
      <c r="A61" s="95"/>
      <c r="B61" s="95" t="str">
        <f>VLOOKUP(C61,lista_id!$D$2:$F$152,3,0)</f>
        <v>REGIONAL 7</v>
      </c>
      <c r="C61" s="102" t="str">
        <f>IFERROR(__xludf.DUMMYFUNCTION("""COMPUTED_VALUE"""),"CEMEI PROFESSORA CIBELE DE ANDRADE MENDES DE AZEVEDO")</f>
        <v>CEMEI PROFESSORA CIBELE DE ANDRADE MENDES DE AZEVEDO</v>
      </c>
      <c r="D61" s="95" t="str">
        <f>IFERROR(__xludf.DUMMYFUNCTION("""COMPUTED_VALUE"""),"INFANTIL 1")</f>
        <v>INFANTIL 1</v>
      </c>
      <c r="E61" s="95" t="str">
        <f>IFERROR(__xludf.DUMMYFUNCTION("""COMPUTED_VALUE"""),"Integral")</f>
        <v>Integral</v>
      </c>
      <c r="F61" s="95" t="str">
        <f>IFERROR(__xludf.DUMMYFUNCTION("""COMPUTED_VALUE"""),"Comum")</f>
        <v>Comum</v>
      </c>
      <c r="G61" s="95" t="str">
        <f>IFERROR(__xludf.DUMMYFUNCTION("""COMPUTED_VALUE"""),"14")</f>
        <v>14</v>
      </c>
      <c r="H61" s="95" t="str">
        <f>IFERROR(__xludf.DUMMYFUNCTION("""COMPUTED_VALUE"""),"26052725257")</f>
        <v>26052725257</v>
      </c>
      <c r="I61" s="103" t="str">
        <f>IFERROR(__xludf.DUMMYFUNCTION("""COMPUTED_VALUE"""),"25/05/2026 18:01:52")</f>
        <v>25/05/2026 18:01:52</v>
      </c>
      <c r="J61" s="95" t="str">
        <f>IFERROR(__xludf.DUMMYFUNCTION("""COMPUTED_VALUE"""),"Naomi Uehara Alves da Silva")</f>
        <v>Naomi Uehara Alves da Silva</v>
      </c>
      <c r="K61" s="95" t="str">
        <f>IFERROR(__xludf.DUMMYFUNCTION("""COMPUTED_VALUE"""),"005.944.274-36")</f>
        <v>005.944.274-36</v>
      </c>
      <c r="L61" s="106" t="str">
        <f>IFERROR(__xludf.DUMMYFUNCTION("""COMPUTED_VALUE"""),"15/04/2025")</f>
        <v>15/04/2025</v>
      </c>
      <c r="M61" s="104"/>
      <c r="N61" s="95" t="str">
        <f>IFERROR(__xludf.DUMMYFUNCTION("""COMPUTED_VALUE"""),"0")</f>
        <v>0</v>
      </c>
      <c r="O61" s="95"/>
      <c r="P61" s="95"/>
      <c r="Q61" s="95"/>
      <c r="R61" s="95"/>
      <c r="S61" s="95"/>
      <c r="T61" s="95"/>
      <c r="U61" s="95"/>
      <c r="V61" s="95"/>
      <c r="W61" s="95"/>
      <c r="X61" s="95"/>
      <c r="Y61" s="95"/>
      <c r="Z61" s="95"/>
      <c r="AA61" s="95"/>
      <c r="AB61" s="95"/>
      <c r="AC61" s="95"/>
    </row>
    <row r="62" ht="15.75" customHeight="1" spans="1:29">
      <c r="A62" s="95"/>
      <c r="B62" s="95" t="str">
        <f>VLOOKUP(C62,lista_id!$D$2:$F$152,3,0)</f>
        <v>REGIONAL 7</v>
      </c>
      <c r="C62" s="102" t="str">
        <f>IFERROR(__xludf.DUMMYFUNCTION("""COMPUTED_VALUE"""),"CEMEI PROFESSORA CIBELE DE ANDRADE MENDES DE AZEVEDO")</f>
        <v>CEMEI PROFESSORA CIBELE DE ANDRADE MENDES DE AZEVEDO</v>
      </c>
      <c r="D62" s="95" t="str">
        <f>IFERROR(__xludf.DUMMYFUNCTION("""COMPUTED_VALUE"""),"INFANTIL 2")</f>
        <v>INFANTIL 2</v>
      </c>
      <c r="E62" s="95" t="str">
        <f>IFERROR(__xludf.DUMMYFUNCTION("""COMPUTED_VALUE"""),"Integral")</f>
        <v>Integral</v>
      </c>
      <c r="F62" s="95" t="str">
        <f>IFERROR(__xludf.DUMMYFUNCTION("""COMPUTED_VALUE"""),"Comum")</f>
        <v>Comum</v>
      </c>
      <c r="G62" s="95" t="str">
        <f>IFERROR(__xludf.DUMMYFUNCTION("""COMPUTED_VALUE"""),"1")</f>
        <v>1</v>
      </c>
      <c r="H62" s="95" t="str">
        <f>IFERROR(__xludf.DUMMYFUNCTION("""COMPUTED_VALUE"""),"26032506977")</f>
        <v>26032506977</v>
      </c>
      <c r="I62" s="105" t="str">
        <f>IFERROR(__xludf.DUMMYFUNCTION("""COMPUTED_VALUE"""),"10/03/2026 12:16:11")</f>
        <v>10/03/2026 12:16:11</v>
      </c>
      <c r="J62" s="95" t="str">
        <f>IFERROR(__xludf.DUMMYFUNCTION("""COMPUTED_VALUE"""),"MELISSA VITÓRIA CIPRIANO DE LIMA")</f>
        <v>MELISSA VITÓRIA CIPRIANO DE LIMA</v>
      </c>
      <c r="K62" s="95" t="str">
        <f>IFERROR(__xludf.DUMMYFUNCTION("""COMPUTED_VALUE"""),"001.770.654-86")</f>
        <v>001.770.654-86</v>
      </c>
      <c r="L62" s="104" t="str">
        <f>IFERROR(__xludf.DUMMYFUNCTION("""COMPUTED_VALUE"""),"17/01/2024")</f>
        <v>17/01/2024</v>
      </c>
      <c r="M62" s="104"/>
      <c r="N62" s="95" t="str">
        <f>IFERROR(__xludf.DUMMYFUNCTION("""COMPUTED_VALUE"""),"0")</f>
        <v>0</v>
      </c>
      <c r="O62" s="95"/>
      <c r="P62" s="95"/>
      <c r="Q62" s="95"/>
      <c r="R62" s="95"/>
      <c r="S62" s="95"/>
      <c r="T62" s="95"/>
      <c r="U62" s="95"/>
      <c r="V62" s="95"/>
      <c r="W62" s="95"/>
      <c r="X62" s="95"/>
      <c r="Y62" s="95"/>
      <c r="Z62" s="95"/>
      <c r="AA62" s="95"/>
      <c r="AB62" s="95"/>
      <c r="AC62" s="95"/>
    </row>
    <row r="63" ht="15.75" customHeight="1" spans="1:29">
      <c r="A63" s="95"/>
      <c r="B63" s="95" t="str">
        <f>VLOOKUP(C63,lista_id!$D$2:$F$152,3,0)</f>
        <v>REGIONAL 7</v>
      </c>
      <c r="C63" s="102" t="str">
        <f>IFERROR(__xludf.DUMMYFUNCTION("""COMPUTED_VALUE"""),"CEMEI PROFESSORA CIBELE DE ANDRADE MENDES DE AZEVEDO")</f>
        <v>CEMEI PROFESSORA CIBELE DE ANDRADE MENDES DE AZEVEDO</v>
      </c>
      <c r="D63" s="95" t="str">
        <f>IFERROR(__xludf.DUMMYFUNCTION("""COMPUTED_VALUE"""),"INFANTIL 2")</f>
        <v>INFANTIL 2</v>
      </c>
      <c r="E63" s="95" t="str">
        <f>IFERROR(__xludf.DUMMYFUNCTION("""COMPUTED_VALUE"""),"Integral")</f>
        <v>Integral</v>
      </c>
      <c r="F63" s="95" t="str">
        <f>IFERROR(__xludf.DUMMYFUNCTION("""COMPUTED_VALUE"""),"Comum")</f>
        <v>Comum</v>
      </c>
      <c r="G63" s="95" t="str">
        <f>IFERROR(__xludf.DUMMYFUNCTION("""COMPUTED_VALUE"""),"2")</f>
        <v>2</v>
      </c>
      <c r="H63" s="95" t="str">
        <f>IFERROR(__xludf.DUMMYFUNCTION("""COMPUTED_VALUE"""),"26032563893")</f>
        <v>26032563893</v>
      </c>
      <c r="I63" s="105" t="str">
        <f>IFERROR(__xludf.DUMMYFUNCTION("""COMPUTED_VALUE"""),"17/03/2026 09:54:44")</f>
        <v>17/03/2026 09:54:44</v>
      </c>
      <c r="J63" s="95" t="str">
        <f>IFERROR(__xludf.DUMMYFUNCTION("""COMPUTED_VALUE"""),"ELOAH SOFIA SILVA DE SANTANA")</f>
        <v>ELOAH SOFIA SILVA DE SANTANA</v>
      </c>
      <c r="K63" s="95" t="str">
        <f>IFERROR(__xludf.DUMMYFUNCTION("""COMPUTED_VALUE"""),"001.380.254-28")</f>
        <v>001.380.254-28</v>
      </c>
      <c r="L63" s="104" t="str">
        <f>IFERROR(__xludf.DUMMYFUNCTION("""COMPUTED_VALUE"""),"03/01/2024")</f>
        <v>03/01/2024</v>
      </c>
      <c r="M63" s="104"/>
      <c r="N63" s="95" t="str">
        <f>IFERROR(__xludf.DUMMYFUNCTION("""COMPUTED_VALUE"""),"0")</f>
        <v>0</v>
      </c>
      <c r="O63" s="95"/>
      <c r="P63" s="95"/>
      <c r="Q63" s="95"/>
      <c r="R63" s="95"/>
      <c r="S63" s="95"/>
      <c r="T63" s="95"/>
      <c r="U63" s="95"/>
      <c r="V63" s="95"/>
      <c r="W63" s="95"/>
      <c r="X63" s="95"/>
      <c r="Y63" s="95"/>
      <c r="Z63" s="95"/>
      <c r="AA63" s="95"/>
      <c r="AB63" s="95"/>
      <c r="AC63" s="95"/>
    </row>
    <row r="64" ht="15.75" customHeight="1" spans="1:29">
      <c r="A64" s="95"/>
      <c r="B64" s="95" t="str">
        <f>VLOOKUP(C64,lista_id!$D$2:$F$152,3,0)</f>
        <v>REGIONAL 7</v>
      </c>
      <c r="C64" s="102" t="str">
        <f>IFERROR(__xludf.DUMMYFUNCTION("""COMPUTED_VALUE"""),"CEMEI PROFESSORA CIBELE DE ANDRADE MENDES DE AZEVEDO")</f>
        <v>CEMEI PROFESSORA CIBELE DE ANDRADE MENDES DE AZEVEDO</v>
      </c>
      <c r="D64" s="95" t="str">
        <f>IFERROR(__xludf.DUMMYFUNCTION("""COMPUTED_VALUE"""),"INFANTIL 2")</f>
        <v>INFANTIL 2</v>
      </c>
      <c r="E64" s="95" t="str">
        <f>IFERROR(__xludf.DUMMYFUNCTION("""COMPUTED_VALUE"""),"Integral")</f>
        <v>Integral</v>
      </c>
      <c r="F64" s="95" t="str">
        <f>IFERROR(__xludf.DUMMYFUNCTION("""COMPUTED_VALUE"""),"Comum")</f>
        <v>Comum</v>
      </c>
      <c r="G64" s="95" t="str">
        <f>IFERROR(__xludf.DUMMYFUNCTION("""COMPUTED_VALUE"""),"3")</f>
        <v>3</v>
      </c>
      <c r="H64" s="95" t="str">
        <f>IFERROR(__xludf.DUMMYFUNCTION("""COMPUTED_VALUE"""),"26052960117")</f>
        <v>26052960117</v>
      </c>
      <c r="I64" s="105" t="str">
        <f>IFERROR(__xludf.DUMMYFUNCTION("""COMPUTED_VALUE"""),"05/05/2026 11:36:38")</f>
        <v>05/05/2026 11:36:38</v>
      </c>
      <c r="J64" s="95" t="str">
        <f>IFERROR(__xludf.DUMMYFUNCTION("""COMPUTED_VALUE"""),"LUNA MARIA GOMES ALVES")</f>
        <v>LUNA MARIA GOMES ALVES</v>
      </c>
      <c r="K64" s="95" t="str">
        <f>IFERROR(__xludf.DUMMYFUNCTION("""COMPUTED_VALUE"""),"001.809.754-55")</f>
        <v>001.809.754-55</v>
      </c>
      <c r="L64" s="104" t="str">
        <f>IFERROR(__xludf.DUMMYFUNCTION("""COMPUTED_VALUE"""),"08/01/2024")</f>
        <v>08/01/2024</v>
      </c>
      <c r="M64" s="104"/>
      <c r="N64" s="95" t="str">
        <f>IFERROR(__xludf.DUMMYFUNCTION("""COMPUTED_VALUE"""),"0")</f>
        <v>0</v>
      </c>
      <c r="O64" s="95"/>
      <c r="P64" s="95"/>
      <c r="Q64" s="95"/>
      <c r="R64" s="95"/>
      <c r="S64" s="95"/>
      <c r="T64" s="95"/>
      <c r="U64" s="95"/>
      <c r="V64" s="95"/>
      <c r="W64" s="95"/>
      <c r="X64" s="95"/>
      <c r="Y64" s="95"/>
      <c r="Z64" s="95"/>
      <c r="AA64" s="95"/>
      <c r="AB64" s="95"/>
      <c r="AC64" s="95"/>
    </row>
    <row r="65" ht="15.75" customHeight="1" spans="1:29">
      <c r="A65" s="95"/>
      <c r="B65" s="95" t="str">
        <f>VLOOKUP(C65,lista_id!$D$2:$F$152,3,0)</f>
        <v>REGIONAL 7</v>
      </c>
      <c r="C65" s="102" t="str">
        <f>IFERROR(__xludf.DUMMYFUNCTION("""COMPUTED_VALUE"""),"CEMEI PROFESSORA CIBELE DE ANDRADE MENDES DE AZEVEDO")</f>
        <v>CEMEI PROFESSORA CIBELE DE ANDRADE MENDES DE AZEVEDO</v>
      </c>
      <c r="D65" s="95" t="str">
        <f>IFERROR(__xludf.DUMMYFUNCTION("""COMPUTED_VALUE"""),"INFANTIL 2")</f>
        <v>INFANTIL 2</v>
      </c>
      <c r="E65" s="95" t="str">
        <f>IFERROR(__xludf.DUMMYFUNCTION("""COMPUTED_VALUE"""),"Integral")</f>
        <v>Integral</v>
      </c>
      <c r="F65" s="95" t="str">
        <f>IFERROR(__xludf.DUMMYFUNCTION("""COMPUTED_VALUE"""),"Comum")</f>
        <v>Comum</v>
      </c>
      <c r="G65" s="95" t="str">
        <f>IFERROR(__xludf.DUMMYFUNCTION("""COMPUTED_VALUE"""),"4")</f>
        <v>4</v>
      </c>
      <c r="H65" s="95" t="str">
        <f>IFERROR(__xludf.DUMMYFUNCTION("""COMPUTED_VALUE"""),"26052250558")</f>
        <v>26052250558</v>
      </c>
      <c r="I65" s="105" t="str">
        <f>IFERROR(__xludf.DUMMYFUNCTION("""COMPUTED_VALUE"""),"25/05/2026 18:09:35")</f>
        <v>25/05/2026 18:09:35</v>
      </c>
      <c r="J65" s="95" t="str">
        <f>IFERROR(__xludf.DUMMYFUNCTION("""COMPUTED_VALUE"""),"Anthony Gabriel Alves Teixeira da silva")</f>
        <v>Anthony Gabriel Alves Teixeira da silva</v>
      </c>
      <c r="K65" s="95" t="str">
        <f>IFERROR(__xludf.DUMMYFUNCTION("""COMPUTED_VALUE"""),"002.138.204-20")</f>
        <v>002.138.204-20</v>
      </c>
      <c r="L65" s="104" t="str">
        <f>IFERROR(__xludf.DUMMYFUNCTION("""COMPUTED_VALUE"""),"29/02/2024")</f>
        <v>29/02/2024</v>
      </c>
      <c r="M65" s="104"/>
      <c r="N65" s="95" t="str">
        <f>IFERROR(__xludf.DUMMYFUNCTION("""COMPUTED_VALUE"""),"0")</f>
        <v>0</v>
      </c>
      <c r="O65" s="95"/>
      <c r="P65" s="95"/>
      <c r="Q65" s="95"/>
      <c r="R65" s="95"/>
      <c r="S65" s="95"/>
      <c r="T65" s="95"/>
      <c r="U65" s="95"/>
      <c r="V65" s="95"/>
      <c r="W65" s="95"/>
      <c r="X65" s="95"/>
      <c r="Y65" s="95"/>
      <c r="Z65" s="95"/>
      <c r="AA65" s="95"/>
      <c r="AB65" s="95"/>
      <c r="AC65" s="95"/>
    </row>
    <row r="66" ht="15.75" customHeight="1" spans="1:29">
      <c r="A66" s="95"/>
      <c r="B66" s="95" t="str">
        <f>VLOOKUP(C66,lista_id!$D$2:$F$152,3,0)</f>
        <v>REGIONAL 7</v>
      </c>
      <c r="C66" s="102" t="str">
        <f>IFERROR(__xludf.DUMMYFUNCTION("""COMPUTED_VALUE"""),"CEMEI PROFESSORA CIBELE DE ANDRADE MENDES DE AZEVEDO")</f>
        <v>CEMEI PROFESSORA CIBELE DE ANDRADE MENDES DE AZEVEDO</v>
      </c>
      <c r="D66" s="95" t="str">
        <f>IFERROR(__xludf.DUMMYFUNCTION("""COMPUTED_VALUE"""),"INFANTIL 3")</f>
        <v>INFANTIL 3</v>
      </c>
      <c r="E66" s="95" t="str">
        <f>IFERROR(__xludf.DUMMYFUNCTION("""COMPUTED_VALUE"""),"Integral")</f>
        <v>Integral</v>
      </c>
      <c r="F66" s="95" t="str">
        <f>IFERROR(__xludf.DUMMYFUNCTION("""COMPUTED_VALUE"""),"Comum")</f>
        <v>Comum</v>
      </c>
      <c r="G66" s="95" t="str">
        <f>IFERROR(__xludf.DUMMYFUNCTION("""COMPUTED_VALUE"""),"1")</f>
        <v>1</v>
      </c>
      <c r="H66" s="95" t="str">
        <f>IFERROR(__xludf.DUMMYFUNCTION("""COMPUTED_VALUE"""),"26032700341")</f>
        <v>26032700341</v>
      </c>
      <c r="I66" s="105" t="str">
        <f>IFERROR(__xludf.DUMMYFUNCTION("""COMPUTED_VALUE"""),"09/03/2026 13:36:35")</f>
        <v>09/03/2026 13:36:35</v>
      </c>
      <c r="J66" s="95" t="str">
        <f>IFERROR(__xludf.DUMMYFUNCTION("""COMPUTED_VALUE"""),"BRAYAN MENDES")</f>
        <v>BRAYAN MENDES</v>
      </c>
      <c r="K66" s="95" t="str">
        <f>IFERROR(__xludf.DUMMYFUNCTION("""COMPUTED_VALUE"""),"006.823.174-11")</f>
        <v>006.823.174-11</v>
      </c>
      <c r="L66" s="104" t="str">
        <f>IFERROR(__xludf.DUMMYFUNCTION("""COMPUTED_VALUE"""),"07/02/2023")</f>
        <v>07/02/2023</v>
      </c>
      <c r="M66" s="104"/>
      <c r="N66" s="95" t="str">
        <f>IFERROR(__xludf.DUMMYFUNCTION("""COMPUTED_VALUE"""),"0")</f>
        <v>0</v>
      </c>
      <c r="O66" s="95"/>
      <c r="P66" s="95"/>
      <c r="Q66" s="95"/>
      <c r="R66" s="95"/>
      <c r="S66" s="95"/>
      <c r="T66" s="95"/>
      <c r="U66" s="95"/>
      <c r="V66" s="95"/>
      <c r="W66" s="95"/>
      <c r="X66" s="95"/>
      <c r="Y66" s="95"/>
      <c r="Z66" s="95"/>
      <c r="AA66" s="95"/>
      <c r="AB66" s="95"/>
      <c r="AC66" s="95"/>
    </row>
    <row r="67" ht="15.75" customHeight="1" spans="1:29">
      <c r="A67" s="95"/>
      <c r="B67" s="95" t="str">
        <f>VLOOKUP(C67,lista_id!$D$2:$F$152,3,0)</f>
        <v>REGIONAL 7</v>
      </c>
      <c r="C67" s="102" t="str">
        <f>IFERROR(__xludf.DUMMYFUNCTION("""COMPUTED_VALUE"""),"CEMEI PROFESSORA CIBELE DE ANDRADE MENDES DE AZEVEDO")</f>
        <v>CEMEI PROFESSORA CIBELE DE ANDRADE MENDES DE AZEVEDO</v>
      </c>
      <c r="D67" s="95" t="str">
        <f>IFERROR(__xludf.DUMMYFUNCTION("""COMPUTED_VALUE"""),"INFANTIL 3")</f>
        <v>INFANTIL 3</v>
      </c>
      <c r="E67" s="95" t="str">
        <f>IFERROR(__xludf.DUMMYFUNCTION("""COMPUTED_VALUE"""),"Integral")</f>
        <v>Integral</v>
      </c>
      <c r="F67" s="95" t="str">
        <f>IFERROR(__xludf.DUMMYFUNCTION("""COMPUTED_VALUE"""),"Comum")</f>
        <v>Comum</v>
      </c>
      <c r="G67" s="95" t="str">
        <f>IFERROR(__xludf.DUMMYFUNCTION("""COMPUTED_VALUE"""),"2")</f>
        <v>2</v>
      </c>
      <c r="H67" s="95" t="str">
        <f>IFERROR(__xludf.DUMMYFUNCTION("""COMPUTED_VALUE"""),"26032388868")</f>
        <v>26032388868</v>
      </c>
      <c r="I67" s="105" t="str">
        <f>IFERROR(__xludf.DUMMYFUNCTION("""COMPUTED_VALUE"""),"23/03/2026 18:55:05")</f>
        <v>23/03/2026 18:55:05</v>
      </c>
      <c r="J67" s="95" t="str">
        <f>IFERROR(__xludf.DUMMYFUNCTION("""COMPUTED_VALUE"""),"FRANK GAEL COSTA LOPES")</f>
        <v>FRANK GAEL COSTA LOPES</v>
      </c>
      <c r="K67" s="95" t="str">
        <f>IFERROR(__xludf.DUMMYFUNCTION("""COMPUTED_VALUE"""),"181.868.494-24")</f>
        <v>181.868.494-24</v>
      </c>
      <c r="L67" s="104" t="str">
        <f>IFERROR(__xludf.DUMMYFUNCTION("""COMPUTED_VALUE"""),"08/06/2022")</f>
        <v>08/06/2022</v>
      </c>
      <c r="M67" s="104"/>
      <c r="N67" s="95" t="str">
        <f>IFERROR(__xludf.DUMMYFUNCTION("""COMPUTED_VALUE"""),"0")</f>
        <v>0</v>
      </c>
      <c r="O67" s="95"/>
      <c r="P67" s="95"/>
      <c r="Q67" s="95"/>
      <c r="R67" s="95"/>
      <c r="S67" s="95"/>
      <c r="T67" s="95"/>
      <c r="U67" s="95"/>
      <c r="V67" s="95"/>
      <c r="W67" s="95"/>
      <c r="X67" s="95"/>
      <c r="Y67" s="95"/>
      <c r="Z67" s="95"/>
      <c r="AA67" s="95"/>
      <c r="AB67" s="95"/>
      <c r="AC67" s="95"/>
    </row>
    <row r="68" ht="15.75" customHeight="1" spans="1:29">
      <c r="A68" s="95"/>
      <c r="B68" s="95" t="str">
        <f>VLOOKUP(C68,lista_id!$D$2:$F$152,3,0)</f>
        <v>REGIONAL 7</v>
      </c>
      <c r="C68" s="102" t="str">
        <f>IFERROR(__xludf.DUMMYFUNCTION("""COMPUTED_VALUE"""),"CEMEI PROFESSORA CIBELE DE ANDRADE MENDES DE AZEVEDO")</f>
        <v>CEMEI PROFESSORA CIBELE DE ANDRADE MENDES DE AZEVEDO</v>
      </c>
      <c r="D68" s="95" t="str">
        <f>IFERROR(__xludf.DUMMYFUNCTION("""COMPUTED_VALUE"""),"INFANTIL 3")</f>
        <v>INFANTIL 3</v>
      </c>
      <c r="E68" s="95" t="str">
        <f>IFERROR(__xludf.DUMMYFUNCTION("""COMPUTED_VALUE"""),"Integral")</f>
        <v>Integral</v>
      </c>
      <c r="F68" s="95" t="str">
        <f>IFERROR(__xludf.DUMMYFUNCTION("""COMPUTED_VALUE"""),"Comum")</f>
        <v>Comum</v>
      </c>
      <c r="G68" s="95" t="str">
        <f>IFERROR(__xludf.DUMMYFUNCTION("""COMPUTED_VALUE"""),"3")</f>
        <v>3</v>
      </c>
      <c r="H68" s="95" t="str">
        <f>IFERROR(__xludf.DUMMYFUNCTION("""COMPUTED_VALUE"""),"26042322287")</f>
        <v>26042322287</v>
      </c>
      <c r="I68" s="105" t="str">
        <f>IFERROR(__xludf.DUMMYFUNCTION("""COMPUTED_VALUE"""),"22/04/2026 15:18:51")</f>
        <v>22/04/2026 15:18:51</v>
      </c>
      <c r="J68" s="95" t="str">
        <f>IFERROR(__xludf.DUMMYFUNCTION("""COMPUTED_VALUE"""),"AYLLA MOANA MAGALHÃES DA SILVA")</f>
        <v>AYLLA MOANA MAGALHÃES DA SILVA</v>
      </c>
      <c r="K68" s="95" t="str">
        <f>IFERROR(__xludf.DUMMYFUNCTION("""COMPUTED_VALUE"""),"184.259.274-20")</f>
        <v>184.259.274-20</v>
      </c>
      <c r="L68" s="104" t="str">
        <f>IFERROR(__xludf.DUMMYFUNCTION("""COMPUTED_VALUE"""),"05/01/2023")</f>
        <v>05/01/2023</v>
      </c>
      <c r="M68" s="106"/>
      <c r="N68" s="95" t="str">
        <f>IFERROR(__xludf.DUMMYFUNCTION("""COMPUTED_VALUE"""),"0")</f>
        <v>0</v>
      </c>
      <c r="O68" s="95"/>
      <c r="P68" s="95"/>
      <c r="Q68" s="95"/>
      <c r="R68" s="95"/>
      <c r="S68" s="95"/>
      <c r="T68" s="95"/>
      <c r="U68" s="95"/>
      <c r="V68" s="95"/>
      <c r="W68" s="95"/>
      <c r="X68" s="95"/>
      <c r="Y68" s="95"/>
      <c r="Z68" s="95"/>
      <c r="AA68" s="95"/>
      <c r="AB68" s="95"/>
      <c r="AC68" s="95"/>
    </row>
    <row r="69" ht="15.75" customHeight="1" spans="1:29">
      <c r="A69" s="95"/>
      <c r="B69" s="95" t="str">
        <f>VLOOKUP(C69,lista_id!$D$2:$F$152,3,0)</f>
        <v>REGIONAL 7</v>
      </c>
      <c r="C69" s="102" t="str">
        <f>IFERROR(__xludf.DUMMYFUNCTION("""COMPUTED_VALUE"""),"CEMEI PROFESSORA CIBELE DE ANDRADE MENDES DE AZEVEDO")</f>
        <v>CEMEI PROFESSORA CIBELE DE ANDRADE MENDES DE AZEVEDO</v>
      </c>
      <c r="D69" s="95" t="str">
        <f>IFERROR(__xludf.DUMMYFUNCTION("""COMPUTED_VALUE"""),"INFANTIL 3")</f>
        <v>INFANTIL 3</v>
      </c>
      <c r="E69" s="95" t="str">
        <f>IFERROR(__xludf.DUMMYFUNCTION("""COMPUTED_VALUE"""),"Integral")</f>
        <v>Integral</v>
      </c>
      <c r="F69" s="95" t="str">
        <f>IFERROR(__xludf.DUMMYFUNCTION("""COMPUTED_VALUE"""),"Comum")</f>
        <v>Comum</v>
      </c>
      <c r="G69" s="95" t="str">
        <f>IFERROR(__xludf.DUMMYFUNCTION("""COMPUTED_VALUE"""),"4")</f>
        <v>4</v>
      </c>
      <c r="H69" s="95" t="str">
        <f>IFERROR(__xludf.DUMMYFUNCTION("""COMPUTED_VALUE"""),"26042541417")</f>
        <v>26042541417</v>
      </c>
      <c r="I69" s="105" t="str">
        <f>IFERROR(__xludf.DUMMYFUNCTION("""COMPUTED_VALUE"""),"23/04/2026 10:57:36")</f>
        <v>23/04/2026 10:57:36</v>
      </c>
      <c r="J69" s="95" t="str">
        <f>IFERROR(__xludf.DUMMYFUNCTION("""COMPUTED_VALUE"""),"AYLLA VALENTINA SOUZA DOS SANTOS")</f>
        <v>AYLLA VALENTINA SOUZA DOS SANTOS</v>
      </c>
      <c r="K69" s="95" t="str">
        <f>IFERROR(__xludf.DUMMYFUNCTION("""COMPUTED_VALUE"""),"183.494.434-13")</f>
        <v>183.494.434-13</v>
      </c>
      <c r="L69" s="104" t="str">
        <f>IFERROR(__xludf.DUMMYFUNCTION("""COMPUTED_VALUE"""),"18/11/2022")</f>
        <v>18/11/2022</v>
      </c>
      <c r="M69" s="104"/>
      <c r="N69" s="95" t="str">
        <f>IFERROR(__xludf.DUMMYFUNCTION("""COMPUTED_VALUE"""),"0")</f>
        <v>0</v>
      </c>
      <c r="O69" s="95"/>
      <c r="P69" s="95"/>
      <c r="Q69" s="95"/>
      <c r="R69" s="95"/>
      <c r="S69" s="95"/>
      <c r="T69" s="95"/>
      <c r="U69" s="95"/>
      <c r="V69" s="95"/>
      <c r="W69" s="95"/>
      <c r="X69" s="95"/>
      <c r="Y69" s="95"/>
      <c r="Z69" s="95"/>
      <c r="AA69" s="95"/>
      <c r="AB69" s="95"/>
      <c r="AC69" s="95"/>
    </row>
    <row r="70" ht="15.75" customHeight="1" spans="1:29">
      <c r="A70" s="95"/>
      <c r="B70" s="95" t="str">
        <f>VLOOKUP(C70,lista_id!$D$2:$F$152,3,0)</f>
        <v>REGIONAL 7</v>
      </c>
      <c r="C70" s="102" t="str">
        <f>IFERROR(__xludf.DUMMYFUNCTION("""COMPUTED_VALUE"""),"CEMEI PROFESSORA CIBELE DE ANDRADE MENDES DE AZEVEDO")</f>
        <v>CEMEI PROFESSORA CIBELE DE ANDRADE MENDES DE AZEVEDO</v>
      </c>
      <c r="D70" s="95" t="str">
        <f>IFERROR(__xludf.DUMMYFUNCTION("""COMPUTED_VALUE"""),"INFANTIL 3")</f>
        <v>INFANTIL 3</v>
      </c>
      <c r="E70" s="95" t="str">
        <f>IFERROR(__xludf.DUMMYFUNCTION("""COMPUTED_VALUE"""),"Integral")</f>
        <v>Integral</v>
      </c>
      <c r="F70" s="95" t="str">
        <f>IFERROR(__xludf.DUMMYFUNCTION("""COMPUTED_VALUE"""),"Comum")</f>
        <v>Comum</v>
      </c>
      <c r="G70" s="95" t="str">
        <f>IFERROR(__xludf.DUMMYFUNCTION("""COMPUTED_VALUE"""),"5")</f>
        <v>5</v>
      </c>
      <c r="H70" s="95" t="str">
        <f>IFERROR(__xludf.DUMMYFUNCTION("""COMPUTED_VALUE"""),"26052923727")</f>
        <v>26052923727</v>
      </c>
      <c r="I70" s="105" t="str">
        <f>IFERROR(__xludf.DUMMYFUNCTION("""COMPUTED_VALUE"""),"13/05/2026 10:59:27")</f>
        <v>13/05/2026 10:59:27</v>
      </c>
      <c r="J70" s="95" t="str">
        <f>IFERROR(__xludf.DUMMYFUNCTION("""COMPUTED_VALUE"""),"REBECA LUANA DA SILVA MILANEZ")</f>
        <v>REBECA LUANA DA SILVA MILANEZ</v>
      </c>
      <c r="K70" s="95" t="str">
        <f>IFERROR(__xludf.DUMMYFUNCTION("""COMPUTED_VALUE"""),"182.950.714-16")</f>
        <v>182.950.714-16</v>
      </c>
      <c r="L70" s="104" t="str">
        <f>IFERROR(__xludf.DUMMYFUNCTION("""COMPUTED_VALUE"""),"21/09/2022")</f>
        <v>21/09/2022</v>
      </c>
      <c r="M70" s="104"/>
      <c r="N70" s="95" t="str">
        <f>IFERROR(__xludf.DUMMYFUNCTION("""COMPUTED_VALUE"""),"0")</f>
        <v>0</v>
      </c>
      <c r="O70" s="95"/>
      <c r="P70" s="95"/>
      <c r="Q70" s="95"/>
      <c r="R70" s="95"/>
      <c r="S70" s="95"/>
      <c r="T70" s="95"/>
      <c r="U70" s="95"/>
      <c r="V70" s="95"/>
      <c r="W70" s="95"/>
      <c r="X70" s="95"/>
      <c r="Y70" s="95"/>
      <c r="Z70" s="95"/>
      <c r="AA70" s="95"/>
      <c r="AB70" s="95"/>
      <c r="AC70" s="95"/>
    </row>
    <row r="71" ht="15.75" customHeight="1" spans="1:29">
      <c r="A71" s="95"/>
      <c r="B71" s="95" t="str">
        <f>VLOOKUP(C71,lista_id!$D$2:$F$152,3,0)</f>
        <v>REGIONAL 7</v>
      </c>
      <c r="C71" s="102" t="str">
        <f>IFERROR(__xludf.DUMMYFUNCTION("""COMPUTED_VALUE"""),"CEMEI PROFESSORA CIBELE DE ANDRADE MENDES DE AZEVEDO")</f>
        <v>CEMEI PROFESSORA CIBELE DE ANDRADE MENDES DE AZEVEDO</v>
      </c>
      <c r="D71" s="95" t="str">
        <f>IFERROR(__xludf.DUMMYFUNCTION("""COMPUTED_VALUE"""),"INFANTIL 4")</f>
        <v>INFANTIL 4</v>
      </c>
      <c r="E71" s="95" t="str">
        <f>IFERROR(__xludf.DUMMYFUNCTION("""COMPUTED_VALUE"""),"Matutino/Manhã")</f>
        <v>Matutino/Manhã</v>
      </c>
      <c r="F71" s="95" t="str">
        <f>IFERROR(__xludf.DUMMYFUNCTION("""COMPUTED_VALUE"""),"Comum")</f>
        <v>Comum</v>
      </c>
      <c r="G71" s="95" t="str">
        <f>IFERROR(__xludf.DUMMYFUNCTION("""COMPUTED_VALUE"""),"1")</f>
        <v>1</v>
      </c>
      <c r="H71" s="95" t="str">
        <f>IFERROR(__xludf.DUMMYFUNCTION("""COMPUTED_VALUE"""),"26022649693")</f>
        <v>26022649693</v>
      </c>
      <c r="I71" s="105" t="str">
        <f>IFERROR(__xludf.DUMMYFUNCTION("""COMPUTED_VALUE"""),"10/02/2026 08:52:34")</f>
        <v>10/02/2026 08:52:34</v>
      </c>
      <c r="J71" s="95" t="str">
        <f>IFERROR(__xludf.DUMMYFUNCTION("""COMPUTED_VALUE"""),"CLARA LICKS DE ALMEIDA")</f>
        <v>CLARA LICKS DE ALMEIDA</v>
      </c>
      <c r="K71" s="95" t="str">
        <f>IFERROR(__xludf.DUMMYFUNCTION("""COMPUTED_VALUE"""),"181.097.294-95")</f>
        <v>181.097.294-95</v>
      </c>
      <c r="L71" s="104" t="str">
        <f>IFERROR(__xludf.DUMMYFUNCTION("""COMPUTED_VALUE"""),"31/03/2022")</f>
        <v>31/03/2022</v>
      </c>
      <c r="M71" s="104"/>
      <c r="N71" s="95" t="str">
        <f>IFERROR(__xludf.DUMMYFUNCTION("""COMPUTED_VALUE"""),"0")</f>
        <v>0</v>
      </c>
      <c r="O71" s="95"/>
      <c r="P71" s="95"/>
      <c r="Q71" s="95"/>
      <c r="R71" s="95"/>
      <c r="S71" s="95"/>
      <c r="T71" s="95"/>
      <c r="U71" s="95"/>
      <c r="V71" s="95"/>
      <c r="W71" s="95"/>
      <c r="X71" s="95"/>
      <c r="Y71" s="95"/>
      <c r="Z71" s="95"/>
      <c r="AA71" s="95"/>
      <c r="AB71" s="95"/>
      <c r="AC71" s="95"/>
    </row>
    <row r="72" ht="15.75" customHeight="1" spans="1:29">
      <c r="A72" s="95"/>
      <c r="B72" s="95" t="str">
        <f>VLOOKUP(C72,lista_id!$D$2:$F$152,3,0)</f>
        <v>REGIONAL 5</v>
      </c>
      <c r="C72" s="102" t="str">
        <f>IFERROR(__xludf.DUMMYFUNCTION("""COMPUTED_VALUE"""),"CEMEI PROFESSORA LINDOMAR DOMINGOS DA SILVA ANJOS")</f>
        <v>CEMEI PROFESSORA LINDOMAR DOMINGOS DA SILVA ANJOS</v>
      </c>
      <c r="D72" s="95" t="str">
        <f>IFERROR(__xludf.DUMMYFUNCTION("""COMPUTED_VALUE"""),"INFANTIL 1")</f>
        <v>INFANTIL 1</v>
      </c>
      <c r="E72" s="95" t="str">
        <f>IFERROR(__xludf.DUMMYFUNCTION("""COMPUTED_VALUE"""),"Integral")</f>
        <v>Integral</v>
      </c>
      <c r="F72" s="95" t="str">
        <f>IFERROR(__xludf.DUMMYFUNCTION("""COMPUTED_VALUE"""),"Comum")</f>
        <v>Comum</v>
      </c>
      <c r="G72" s="95" t="str">
        <f>IFERROR(__xludf.DUMMYFUNCTION("""COMPUTED_VALUE"""),"1")</f>
        <v>1</v>
      </c>
      <c r="H72" s="95" t="str">
        <f>IFERROR(__xludf.DUMMYFUNCTION("""COMPUTED_VALUE"""),"26012630672")</f>
        <v>26012630672</v>
      </c>
      <c r="I72" s="105" t="str">
        <f>IFERROR(__xludf.DUMMYFUNCTION("""COMPUTED_VALUE"""),"28/01/2026 08:05:20")</f>
        <v>28/01/2026 08:05:20</v>
      </c>
      <c r="J72" s="95" t="str">
        <f>IFERROR(__xludf.DUMMYFUNCTION("""COMPUTED_VALUE"""),"RHAMON LUCAS SOARES")</f>
        <v>RHAMON LUCAS SOARES</v>
      </c>
      <c r="K72" s="95" t="str">
        <f>IFERROR(__xludf.DUMMYFUNCTION("""COMPUTED_VALUE"""),"003.921.824-40")</f>
        <v>003.921.824-40</v>
      </c>
      <c r="L72" s="104" t="str">
        <f>IFERROR(__xludf.DUMMYFUNCTION("""COMPUTED_VALUE"""),"29/08/2024")</f>
        <v>29/08/2024</v>
      </c>
      <c r="M72" s="106"/>
      <c r="N72" s="95" t="str">
        <f>IFERROR(__xludf.DUMMYFUNCTION("""COMPUTED_VALUE"""),"0")</f>
        <v>0</v>
      </c>
      <c r="O72" s="95"/>
      <c r="P72" s="95"/>
      <c r="Q72" s="95"/>
      <c r="R72" s="95"/>
      <c r="S72" s="95"/>
      <c r="T72" s="95"/>
      <c r="U72" s="95"/>
      <c r="V72" s="95"/>
      <c r="W72" s="95"/>
      <c r="X72" s="95"/>
      <c r="Y72" s="95"/>
      <c r="Z72" s="95"/>
      <c r="AA72" s="95"/>
      <c r="AB72" s="95"/>
      <c r="AC72" s="95"/>
    </row>
    <row r="73" ht="15.75" customHeight="1" spans="1:29">
      <c r="A73" s="95"/>
      <c r="B73" s="95" t="str">
        <f>VLOOKUP(C73,lista_id!$D$2:$F$152,3,0)</f>
        <v>REGIONAL 5</v>
      </c>
      <c r="C73" s="102" t="str">
        <f>IFERROR(__xludf.DUMMYFUNCTION("""COMPUTED_VALUE"""),"CEMEI PROFESSORA LINDOMAR DOMINGOS DA SILVA ANJOS")</f>
        <v>CEMEI PROFESSORA LINDOMAR DOMINGOS DA SILVA ANJOS</v>
      </c>
      <c r="D73" s="95" t="str">
        <f>IFERROR(__xludf.DUMMYFUNCTION("""COMPUTED_VALUE"""),"INFANTIL 1")</f>
        <v>INFANTIL 1</v>
      </c>
      <c r="E73" s="95" t="str">
        <f>IFERROR(__xludf.DUMMYFUNCTION("""COMPUTED_VALUE"""),"Integral")</f>
        <v>Integral</v>
      </c>
      <c r="F73" s="95" t="str">
        <f>IFERROR(__xludf.DUMMYFUNCTION("""COMPUTED_VALUE"""),"Comum")</f>
        <v>Comum</v>
      </c>
      <c r="G73" s="95" t="str">
        <f>IFERROR(__xludf.DUMMYFUNCTION("""COMPUTED_VALUE"""),"2")</f>
        <v>2</v>
      </c>
      <c r="H73" s="95" t="str">
        <f>IFERROR(__xludf.DUMMYFUNCTION("""COMPUTED_VALUE"""),"26012727825")</f>
        <v>26012727825</v>
      </c>
      <c r="I73" s="105" t="str">
        <f>IFERROR(__xludf.DUMMYFUNCTION("""COMPUTED_VALUE"""),"28/01/2026 08:08:23")</f>
        <v>28/01/2026 08:08:23</v>
      </c>
      <c r="J73" s="95" t="str">
        <f>IFERROR(__xludf.DUMMYFUNCTION("""COMPUTED_VALUE"""),"LUNNA SOPHIA DA SILVA ARAÚJO")</f>
        <v>LUNNA SOPHIA DA SILVA ARAÚJO</v>
      </c>
      <c r="K73" s="95" t="str">
        <f>IFERROR(__xludf.DUMMYFUNCTION("""COMPUTED_VALUE"""),"004.595.404-67")</f>
        <v>004.595.404-67</v>
      </c>
      <c r="L73" s="104" t="str">
        <f>IFERROR(__xludf.DUMMYFUNCTION("""COMPUTED_VALUE"""),"07/11/2024")</f>
        <v>07/11/2024</v>
      </c>
      <c r="M73" s="104"/>
      <c r="N73" s="95" t="str">
        <f>IFERROR(__xludf.DUMMYFUNCTION("""COMPUTED_VALUE"""),"0")</f>
        <v>0</v>
      </c>
      <c r="O73" s="95"/>
      <c r="P73" s="95"/>
      <c r="Q73" s="95"/>
      <c r="R73" s="95"/>
      <c r="S73" s="95"/>
      <c r="T73" s="95"/>
      <c r="U73" s="95"/>
      <c r="V73" s="95"/>
      <c r="W73" s="95"/>
      <c r="X73" s="95"/>
      <c r="Y73" s="95"/>
      <c r="Z73" s="95"/>
      <c r="AA73" s="95"/>
      <c r="AB73" s="95"/>
      <c r="AC73" s="95"/>
    </row>
    <row r="74" ht="15.75" customHeight="1" spans="1:29">
      <c r="A74" s="95"/>
      <c r="B74" s="95" t="str">
        <f>VLOOKUP(C74,lista_id!$D$2:$F$152,3,0)</f>
        <v>REGIONAL 5</v>
      </c>
      <c r="C74" s="102" t="str">
        <f>IFERROR(__xludf.DUMMYFUNCTION("""COMPUTED_VALUE"""),"CEMEI PROFESSORA LINDOMAR DOMINGOS DA SILVA ANJOS")</f>
        <v>CEMEI PROFESSORA LINDOMAR DOMINGOS DA SILVA ANJOS</v>
      </c>
      <c r="D74" s="95" t="str">
        <f>IFERROR(__xludf.DUMMYFUNCTION("""COMPUTED_VALUE"""),"INFANTIL 1")</f>
        <v>INFANTIL 1</v>
      </c>
      <c r="E74" s="95" t="str">
        <f>IFERROR(__xludf.DUMMYFUNCTION("""COMPUTED_VALUE"""),"Integral")</f>
        <v>Integral</v>
      </c>
      <c r="F74" s="95" t="str">
        <f>IFERROR(__xludf.DUMMYFUNCTION("""COMPUTED_VALUE"""),"Comum")</f>
        <v>Comum</v>
      </c>
      <c r="G74" s="95" t="str">
        <f>IFERROR(__xludf.DUMMYFUNCTION("""COMPUTED_VALUE"""),"3")</f>
        <v>3</v>
      </c>
      <c r="H74" s="95" t="str">
        <f>IFERROR(__xludf.DUMMYFUNCTION("""COMPUTED_VALUE"""),"26012074592")</f>
        <v>26012074592</v>
      </c>
      <c r="I74" s="105" t="str">
        <f>IFERROR(__xludf.DUMMYFUNCTION("""COMPUTED_VALUE"""),"28/01/2026 08:08:37")</f>
        <v>28/01/2026 08:08:37</v>
      </c>
      <c r="J74" s="95" t="str">
        <f>IFERROR(__xludf.DUMMYFUNCTION("""COMPUTED_VALUE"""),"BRYAN ARTHUR COSTA SILVA")</f>
        <v>BRYAN ARTHUR COSTA SILVA</v>
      </c>
      <c r="K74" s="95" t="str">
        <f>IFERROR(__xludf.DUMMYFUNCTION("""COMPUTED_VALUE"""),"004.069.734-74")</f>
        <v>004.069.734-74</v>
      </c>
      <c r="L74" s="104" t="str">
        <f>IFERROR(__xludf.DUMMYFUNCTION("""COMPUTED_VALUE"""),"13/09/2024")</f>
        <v>13/09/2024</v>
      </c>
      <c r="M74" s="104"/>
      <c r="N74" s="95" t="str">
        <f>IFERROR(__xludf.DUMMYFUNCTION("""COMPUTED_VALUE"""),"0")</f>
        <v>0</v>
      </c>
      <c r="O74" s="95"/>
      <c r="P74" s="95"/>
      <c r="Q74" s="95"/>
      <c r="R74" s="95"/>
      <c r="S74" s="95"/>
      <c r="T74" s="95"/>
      <c r="U74" s="95"/>
      <c r="V74" s="95"/>
      <c r="W74" s="95"/>
      <c r="X74" s="95"/>
      <c r="Y74" s="95"/>
      <c r="Z74" s="95"/>
      <c r="AA74" s="95"/>
      <c r="AB74" s="95"/>
      <c r="AC74" s="95"/>
    </row>
    <row r="75" ht="15.75" customHeight="1" spans="1:29">
      <c r="A75" s="95"/>
      <c r="B75" s="95" t="str">
        <f>VLOOKUP(C75,lista_id!$D$2:$F$152,3,0)</f>
        <v>REGIONAL 5</v>
      </c>
      <c r="C75" s="102" t="str">
        <f>IFERROR(__xludf.DUMMYFUNCTION("""COMPUTED_VALUE"""),"CEMEI PROFESSORA LINDOMAR DOMINGOS DA SILVA ANJOS")</f>
        <v>CEMEI PROFESSORA LINDOMAR DOMINGOS DA SILVA ANJOS</v>
      </c>
      <c r="D75" s="95" t="str">
        <f>IFERROR(__xludf.DUMMYFUNCTION("""COMPUTED_VALUE"""),"INFANTIL 1")</f>
        <v>INFANTIL 1</v>
      </c>
      <c r="E75" s="95" t="str">
        <f>IFERROR(__xludf.DUMMYFUNCTION("""COMPUTED_VALUE"""),"Integral")</f>
        <v>Integral</v>
      </c>
      <c r="F75" s="95" t="str">
        <f>IFERROR(__xludf.DUMMYFUNCTION("""COMPUTED_VALUE"""),"Comum")</f>
        <v>Comum</v>
      </c>
      <c r="G75" s="95" t="str">
        <f>IFERROR(__xludf.DUMMYFUNCTION("""COMPUTED_VALUE"""),"4")</f>
        <v>4</v>
      </c>
      <c r="H75" s="95" t="str">
        <f>IFERROR(__xludf.DUMMYFUNCTION("""COMPUTED_VALUE"""),"26012364070")</f>
        <v>26012364070</v>
      </c>
      <c r="I75" s="105" t="str">
        <f>IFERROR(__xludf.DUMMYFUNCTION("""COMPUTED_VALUE"""),"28/01/2026 08:11:25")</f>
        <v>28/01/2026 08:11:25</v>
      </c>
      <c r="J75" s="95" t="str">
        <f>IFERROR(__xludf.DUMMYFUNCTION("""COMPUTED_VALUE"""),"ANNA LIZ COSTA DA SILVA MOURA")</f>
        <v>ANNA LIZ COSTA DA SILVA MOURA</v>
      </c>
      <c r="K75" s="95" t="str">
        <f>IFERROR(__xludf.DUMMYFUNCTION("""COMPUTED_VALUE"""),"170.372.894-77")</f>
        <v>170.372.894-77</v>
      </c>
      <c r="L75" s="106" t="str">
        <f>IFERROR(__xludf.DUMMYFUNCTION("""COMPUTED_VALUE"""),"20/04/2024")</f>
        <v>20/04/2024</v>
      </c>
      <c r="M75" s="104"/>
      <c r="N75" s="95" t="str">
        <f>IFERROR(__xludf.DUMMYFUNCTION("""COMPUTED_VALUE"""),"0")</f>
        <v>0</v>
      </c>
      <c r="O75" s="95"/>
      <c r="P75" s="95"/>
      <c r="Q75" s="95"/>
      <c r="R75" s="95"/>
      <c r="S75" s="95"/>
      <c r="T75" s="95"/>
      <c r="U75" s="95"/>
      <c r="V75" s="95"/>
      <c r="W75" s="95"/>
      <c r="X75" s="95"/>
      <c r="Y75" s="95"/>
      <c r="Z75" s="95"/>
      <c r="AA75" s="95"/>
      <c r="AB75" s="95"/>
      <c r="AC75" s="95"/>
    </row>
    <row r="76" ht="15.75" customHeight="1" spans="1:29">
      <c r="A76" s="95"/>
      <c r="B76" s="95" t="str">
        <f>VLOOKUP(C76,lista_id!$D$2:$F$152,3,0)</f>
        <v>REGIONAL 5</v>
      </c>
      <c r="C76" s="102" t="str">
        <f>IFERROR(__xludf.DUMMYFUNCTION("""COMPUTED_VALUE"""),"CEMEI PROFESSORA LINDOMAR DOMINGOS DA SILVA ANJOS")</f>
        <v>CEMEI PROFESSORA LINDOMAR DOMINGOS DA SILVA ANJOS</v>
      </c>
      <c r="D76" s="95" t="str">
        <f>IFERROR(__xludf.DUMMYFUNCTION("""COMPUTED_VALUE"""),"INFANTIL 1")</f>
        <v>INFANTIL 1</v>
      </c>
      <c r="E76" s="95" t="str">
        <f>IFERROR(__xludf.DUMMYFUNCTION("""COMPUTED_VALUE"""),"Integral")</f>
        <v>Integral</v>
      </c>
      <c r="F76" s="95" t="str">
        <f>IFERROR(__xludf.DUMMYFUNCTION("""COMPUTED_VALUE"""),"Comum")</f>
        <v>Comum</v>
      </c>
      <c r="G76" s="95" t="str">
        <f>IFERROR(__xludf.DUMMYFUNCTION("""COMPUTED_VALUE"""),"5")</f>
        <v>5</v>
      </c>
      <c r="H76" s="95" t="str">
        <f>IFERROR(__xludf.DUMMYFUNCTION("""COMPUTED_VALUE"""),"26012045456")</f>
        <v>26012045456</v>
      </c>
      <c r="I76" s="105" t="str">
        <f>IFERROR(__xludf.DUMMYFUNCTION("""COMPUTED_VALUE"""),"28/01/2026 08:13:45")</f>
        <v>28/01/2026 08:13:45</v>
      </c>
      <c r="J76" s="95" t="str">
        <f>IFERROR(__xludf.DUMMYFUNCTION("""COMPUTED_VALUE"""),"GEYSON LUCAS CABRAL DA SILVA")</f>
        <v>GEYSON LUCAS CABRAL DA SILVA</v>
      </c>
      <c r="K76" s="95" t="str">
        <f>IFERROR(__xludf.DUMMYFUNCTION("""COMPUTED_VALUE"""),"003.545.084-31")</f>
        <v>003.545.084-31</v>
      </c>
      <c r="L76" s="106" t="str">
        <f>IFERROR(__xludf.DUMMYFUNCTION("""COMPUTED_VALUE"""),"18/07/2024")</f>
        <v>18/07/2024</v>
      </c>
      <c r="M76" s="104"/>
      <c r="N76" s="95" t="str">
        <f>IFERROR(__xludf.DUMMYFUNCTION("""COMPUTED_VALUE"""),"0")</f>
        <v>0</v>
      </c>
      <c r="O76" s="95"/>
      <c r="P76" s="95"/>
      <c r="Q76" s="95"/>
      <c r="R76" s="95"/>
      <c r="S76" s="95"/>
      <c r="T76" s="95"/>
      <c r="U76" s="95"/>
      <c r="V76" s="95"/>
      <c r="W76" s="95"/>
      <c r="X76" s="95"/>
      <c r="Y76" s="95"/>
      <c r="Z76" s="95"/>
      <c r="AA76" s="95"/>
      <c r="AB76" s="95"/>
      <c r="AC76" s="95"/>
    </row>
    <row r="77" ht="15.75" customHeight="1" spans="1:29">
      <c r="A77" s="95"/>
      <c r="B77" s="95" t="str">
        <f>VLOOKUP(C77,lista_id!$D$2:$F$152,3,0)</f>
        <v>REGIONAL 5</v>
      </c>
      <c r="C77" s="102" t="str">
        <f>IFERROR(__xludf.DUMMYFUNCTION("""COMPUTED_VALUE"""),"CEMEI PROFESSORA LINDOMAR DOMINGOS DA SILVA ANJOS")</f>
        <v>CEMEI PROFESSORA LINDOMAR DOMINGOS DA SILVA ANJOS</v>
      </c>
      <c r="D77" s="95" t="str">
        <f>IFERROR(__xludf.DUMMYFUNCTION("""COMPUTED_VALUE"""),"INFANTIL 1")</f>
        <v>INFANTIL 1</v>
      </c>
      <c r="E77" s="95" t="str">
        <f>IFERROR(__xludf.DUMMYFUNCTION("""COMPUTED_VALUE"""),"Integral")</f>
        <v>Integral</v>
      </c>
      <c r="F77" s="95" t="str">
        <f>IFERROR(__xludf.DUMMYFUNCTION("""COMPUTED_VALUE"""),"Comum")</f>
        <v>Comum</v>
      </c>
      <c r="G77" s="95" t="str">
        <f>IFERROR(__xludf.DUMMYFUNCTION("""COMPUTED_VALUE"""),"6")</f>
        <v>6</v>
      </c>
      <c r="H77" s="95" t="str">
        <f>IFERROR(__xludf.DUMMYFUNCTION("""COMPUTED_VALUE"""),"26012639313")</f>
        <v>26012639313</v>
      </c>
      <c r="I77" s="105" t="str">
        <f>IFERROR(__xludf.DUMMYFUNCTION("""COMPUTED_VALUE"""),"28/01/2026 08:25:22")</f>
        <v>28/01/2026 08:25:22</v>
      </c>
      <c r="J77" s="95" t="str">
        <f>IFERROR(__xludf.DUMMYFUNCTION("""COMPUTED_VALUE"""),"HELENA MAITÊ BARRETO DA SILVA")</f>
        <v>HELENA MAITÊ BARRETO DA SILVA</v>
      </c>
      <c r="K77" s="95" t="str">
        <f>IFERROR(__xludf.DUMMYFUNCTION("""COMPUTED_VALUE"""),"004.709.854-61")</f>
        <v>004.709.854-61</v>
      </c>
      <c r="L77" s="104" t="str">
        <f>IFERROR(__xludf.DUMMYFUNCTION("""COMPUTED_VALUE"""),"02/11/2024")</f>
        <v>02/11/2024</v>
      </c>
      <c r="M77" s="104"/>
      <c r="N77" s="95" t="str">
        <f>IFERROR(__xludf.DUMMYFUNCTION("""COMPUTED_VALUE"""),"0")</f>
        <v>0</v>
      </c>
      <c r="O77" s="95"/>
      <c r="P77" s="95"/>
      <c r="Q77" s="95"/>
      <c r="R77" s="95"/>
      <c r="S77" s="95"/>
      <c r="T77" s="95"/>
      <c r="U77" s="95"/>
      <c r="V77" s="95"/>
      <c r="W77" s="95"/>
      <c r="X77" s="95"/>
      <c r="Y77" s="95"/>
      <c r="Z77" s="95"/>
      <c r="AA77" s="95"/>
      <c r="AB77" s="95"/>
      <c r="AC77" s="95"/>
    </row>
    <row r="78" ht="15.75" customHeight="1" spans="1:29">
      <c r="A78" s="95"/>
      <c r="B78" s="95" t="str">
        <f>VLOOKUP(C78,lista_id!$D$2:$F$152,3,0)</f>
        <v>REGIONAL 5</v>
      </c>
      <c r="C78" s="102" t="str">
        <f>IFERROR(__xludf.DUMMYFUNCTION("""COMPUTED_VALUE"""),"CEMEI PROFESSORA LINDOMAR DOMINGOS DA SILVA ANJOS")</f>
        <v>CEMEI PROFESSORA LINDOMAR DOMINGOS DA SILVA ANJOS</v>
      </c>
      <c r="D78" s="95" t="str">
        <f>IFERROR(__xludf.DUMMYFUNCTION("""COMPUTED_VALUE"""),"INFANTIL 1")</f>
        <v>INFANTIL 1</v>
      </c>
      <c r="E78" s="95" t="str">
        <f>IFERROR(__xludf.DUMMYFUNCTION("""COMPUTED_VALUE"""),"Integral")</f>
        <v>Integral</v>
      </c>
      <c r="F78" s="95" t="str">
        <f>IFERROR(__xludf.DUMMYFUNCTION("""COMPUTED_VALUE"""),"Comum")</f>
        <v>Comum</v>
      </c>
      <c r="G78" s="95" t="str">
        <f>IFERROR(__xludf.DUMMYFUNCTION("""COMPUTED_VALUE"""),"7")</f>
        <v>7</v>
      </c>
      <c r="H78" s="95" t="str">
        <f>IFERROR(__xludf.DUMMYFUNCTION("""COMPUTED_VALUE"""),"26012366685")</f>
        <v>26012366685</v>
      </c>
      <c r="I78" s="105" t="str">
        <f>IFERROR(__xludf.DUMMYFUNCTION("""COMPUTED_VALUE"""),"28/01/2026 09:18:21")</f>
        <v>28/01/2026 09:18:21</v>
      </c>
      <c r="J78" s="95" t="str">
        <f>IFERROR(__xludf.DUMMYFUNCTION("""COMPUTED_VALUE"""),"HELOISA FERREIRA MIRANDA DA SILVA")</f>
        <v>HELOISA FERREIRA MIRANDA DA SILVA</v>
      </c>
      <c r="K78" s="95" t="str">
        <f>IFERROR(__xludf.DUMMYFUNCTION("""COMPUTED_VALUE"""),"005.241.694-11")</f>
        <v>005.241.694-11</v>
      </c>
      <c r="L78" s="104" t="str">
        <f>IFERROR(__xludf.DUMMYFUNCTION("""COMPUTED_VALUE"""),"15/01/2025")</f>
        <v>15/01/2025</v>
      </c>
      <c r="M78" s="104"/>
      <c r="N78" s="95" t="str">
        <f>IFERROR(__xludf.DUMMYFUNCTION("""COMPUTED_VALUE"""),"0")</f>
        <v>0</v>
      </c>
      <c r="O78" s="95"/>
      <c r="P78" s="95"/>
      <c r="Q78" s="95"/>
      <c r="R78" s="95"/>
      <c r="S78" s="95"/>
      <c r="T78" s="95"/>
      <c r="U78" s="95"/>
      <c r="V78" s="95"/>
      <c r="W78" s="95"/>
      <c r="X78" s="95"/>
      <c r="Y78" s="95"/>
      <c r="Z78" s="95"/>
      <c r="AA78" s="95"/>
      <c r="AB78" s="95"/>
      <c r="AC78" s="95"/>
    </row>
    <row r="79" ht="15.75" customHeight="1" spans="1:29">
      <c r="A79" s="95"/>
      <c r="B79" s="95" t="str">
        <f>VLOOKUP(C79,lista_id!$D$2:$F$152,3,0)</f>
        <v>REGIONAL 5</v>
      </c>
      <c r="C79" s="102" t="str">
        <f>IFERROR(__xludf.DUMMYFUNCTION("""COMPUTED_VALUE"""),"CEMEI PROFESSORA LINDOMAR DOMINGOS DA SILVA ANJOS")</f>
        <v>CEMEI PROFESSORA LINDOMAR DOMINGOS DA SILVA ANJOS</v>
      </c>
      <c r="D79" s="95" t="str">
        <f>IFERROR(__xludf.DUMMYFUNCTION("""COMPUTED_VALUE"""),"INFANTIL 1")</f>
        <v>INFANTIL 1</v>
      </c>
      <c r="E79" s="95" t="str">
        <f>IFERROR(__xludf.DUMMYFUNCTION("""COMPUTED_VALUE"""),"Integral")</f>
        <v>Integral</v>
      </c>
      <c r="F79" s="95" t="str">
        <f>IFERROR(__xludf.DUMMYFUNCTION("""COMPUTED_VALUE"""),"Comum")</f>
        <v>Comum</v>
      </c>
      <c r="G79" s="95" t="str">
        <f>IFERROR(__xludf.DUMMYFUNCTION("""COMPUTED_VALUE"""),"8")</f>
        <v>8</v>
      </c>
      <c r="H79" s="95" t="str">
        <f>IFERROR(__xludf.DUMMYFUNCTION("""COMPUTED_VALUE"""),"26012430062")</f>
        <v>26012430062</v>
      </c>
      <c r="I79" s="105" t="str">
        <f>IFERROR(__xludf.DUMMYFUNCTION("""COMPUTED_VALUE"""),"28/01/2026 09:33:11")</f>
        <v>28/01/2026 09:33:11</v>
      </c>
      <c r="J79" s="95" t="str">
        <f>IFERROR(__xludf.DUMMYFUNCTION("""COMPUTED_VALUE"""),"JASMYNE ELOISE DOS SANTOS")</f>
        <v>JASMYNE ELOISE DOS SANTOS</v>
      </c>
      <c r="K79" s="95" t="str">
        <f>IFERROR(__xludf.DUMMYFUNCTION("""COMPUTED_VALUE"""),"004.726.704-68")</f>
        <v>004.726.704-68</v>
      </c>
      <c r="L79" s="104" t="str">
        <f>IFERROR(__xludf.DUMMYFUNCTION("""COMPUTED_VALUE"""),"23/06/2024")</f>
        <v>23/06/2024</v>
      </c>
      <c r="M79" s="104"/>
      <c r="N79" s="95" t="str">
        <f>IFERROR(__xludf.DUMMYFUNCTION("""COMPUTED_VALUE"""),"0")</f>
        <v>0</v>
      </c>
      <c r="O79" s="95"/>
      <c r="P79" s="95"/>
      <c r="Q79" s="95"/>
      <c r="R79" s="95"/>
      <c r="S79" s="95"/>
      <c r="T79" s="95"/>
      <c r="U79" s="95"/>
      <c r="V79" s="95"/>
      <c r="W79" s="95"/>
      <c r="X79" s="95"/>
      <c r="Y79" s="95"/>
      <c r="Z79" s="95"/>
      <c r="AA79" s="95"/>
      <c r="AB79" s="95"/>
      <c r="AC79" s="95"/>
    </row>
    <row r="80" ht="15.75" customHeight="1" spans="1:29">
      <c r="A80" s="95"/>
      <c r="B80" s="95" t="str">
        <f>VLOOKUP(C80,lista_id!$D$2:$F$152,3,0)</f>
        <v>REGIONAL 5</v>
      </c>
      <c r="C80" s="102" t="str">
        <f>IFERROR(__xludf.DUMMYFUNCTION("""COMPUTED_VALUE"""),"CEMEI PROFESSORA LINDOMAR DOMINGOS DA SILVA ANJOS")</f>
        <v>CEMEI PROFESSORA LINDOMAR DOMINGOS DA SILVA ANJOS</v>
      </c>
      <c r="D80" s="95" t="str">
        <f>IFERROR(__xludf.DUMMYFUNCTION("""COMPUTED_VALUE"""),"INFANTIL 1")</f>
        <v>INFANTIL 1</v>
      </c>
      <c r="E80" s="95" t="str">
        <f>IFERROR(__xludf.DUMMYFUNCTION("""COMPUTED_VALUE"""),"Integral")</f>
        <v>Integral</v>
      </c>
      <c r="F80" s="95" t="str">
        <f>IFERROR(__xludf.DUMMYFUNCTION("""COMPUTED_VALUE"""),"Comum")</f>
        <v>Comum</v>
      </c>
      <c r="G80" s="95" t="str">
        <f>IFERROR(__xludf.DUMMYFUNCTION("""COMPUTED_VALUE"""),"9")</f>
        <v>9</v>
      </c>
      <c r="H80" s="95" t="str">
        <f>IFERROR(__xludf.DUMMYFUNCTION("""COMPUTED_VALUE"""),"26012259894")</f>
        <v>26012259894</v>
      </c>
      <c r="I80" s="105" t="str">
        <f>IFERROR(__xludf.DUMMYFUNCTION("""COMPUTED_VALUE"""),"28/01/2026 09:38:34")</f>
        <v>28/01/2026 09:38:34</v>
      </c>
      <c r="J80" s="95" t="str">
        <f>IFERROR(__xludf.DUMMYFUNCTION("""COMPUTED_VALUE"""),"ALEF GABRIEL FERREIRA SALES")</f>
        <v>ALEF GABRIEL FERREIRA SALES</v>
      </c>
      <c r="K80" s="95" t="str">
        <f>IFERROR(__xludf.DUMMYFUNCTION("""COMPUTED_VALUE"""),"003.127.374-24")</f>
        <v>003.127.374-24</v>
      </c>
      <c r="L80" s="104" t="str">
        <f>IFERROR(__xludf.DUMMYFUNCTION("""COMPUTED_VALUE"""),"31/05/2024")</f>
        <v>31/05/2024</v>
      </c>
      <c r="M80" s="104"/>
      <c r="N80" s="95" t="str">
        <f>IFERROR(__xludf.DUMMYFUNCTION("""COMPUTED_VALUE"""),"0")</f>
        <v>0</v>
      </c>
      <c r="O80" s="95"/>
      <c r="P80" s="95"/>
      <c r="Q80" s="95"/>
      <c r="R80" s="95"/>
      <c r="S80" s="95"/>
      <c r="T80" s="95"/>
      <c r="U80" s="95"/>
      <c r="V80" s="95"/>
      <c r="W80" s="95"/>
      <c r="X80" s="95"/>
      <c r="Y80" s="95"/>
      <c r="Z80" s="95"/>
      <c r="AA80" s="95"/>
      <c r="AB80" s="95"/>
      <c r="AC80" s="95"/>
    </row>
    <row r="81" ht="15.75" customHeight="1" spans="1:29">
      <c r="A81" s="95"/>
      <c r="B81" s="95" t="str">
        <f>VLOOKUP(C81,lista_id!$D$2:$F$152,3,0)</f>
        <v>REGIONAL 5</v>
      </c>
      <c r="C81" s="102" t="str">
        <f>IFERROR(__xludf.DUMMYFUNCTION("""COMPUTED_VALUE"""),"CEMEI PROFESSORA LINDOMAR DOMINGOS DA SILVA ANJOS")</f>
        <v>CEMEI PROFESSORA LINDOMAR DOMINGOS DA SILVA ANJOS</v>
      </c>
      <c r="D81" s="95" t="str">
        <f>IFERROR(__xludf.DUMMYFUNCTION("""COMPUTED_VALUE"""),"INFANTIL 1")</f>
        <v>INFANTIL 1</v>
      </c>
      <c r="E81" s="95" t="str">
        <f>IFERROR(__xludf.DUMMYFUNCTION("""COMPUTED_VALUE"""),"Integral")</f>
        <v>Integral</v>
      </c>
      <c r="F81" s="95" t="str">
        <f>IFERROR(__xludf.DUMMYFUNCTION("""COMPUTED_VALUE"""),"Comum")</f>
        <v>Comum</v>
      </c>
      <c r="G81" s="95" t="str">
        <f>IFERROR(__xludf.DUMMYFUNCTION("""COMPUTED_VALUE"""),"10")</f>
        <v>10</v>
      </c>
      <c r="H81" s="95" t="str">
        <f>IFERROR(__xludf.DUMMYFUNCTION("""COMPUTED_VALUE"""),"26012275379")</f>
        <v>26012275379</v>
      </c>
      <c r="I81" s="105" t="str">
        <f>IFERROR(__xludf.DUMMYFUNCTION("""COMPUTED_VALUE"""),"28/01/2026 10:45:36")</f>
        <v>28/01/2026 10:45:36</v>
      </c>
      <c r="J81" s="95" t="str">
        <f>IFERROR(__xludf.DUMMYFUNCTION("""COMPUTED_VALUE"""),"THEO MENDES DA SILVA")</f>
        <v>THEO MENDES DA SILVA</v>
      </c>
      <c r="K81" s="95" t="str">
        <f>IFERROR(__xludf.DUMMYFUNCTION("""COMPUTED_VALUE"""),"004.687.804-16")</f>
        <v>004.687.804-16</v>
      </c>
      <c r="L81" s="104" t="str">
        <f>IFERROR(__xludf.DUMMYFUNCTION("""COMPUTED_VALUE"""),"25/11/2024")</f>
        <v>25/11/2024</v>
      </c>
      <c r="M81" s="104"/>
      <c r="N81" s="95" t="str">
        <f>IFERROR(__xludf.DUMMYFUNCTION("""COMPUTED_VALUE"""),"0")</f>
        <v>0</v>
      </c>
      <c r="O81" s="95"/>
      <c r="P81" s="95"/>
      <c r="Q81" s="95"/>
      <c r="R81" s="95"/>
      <c r="S81" s="95"/>
      <c r="T81" s="95"/>
      <c r="U81" s="95"/>
      <c r="V81" s="95"/>
      <c r="W81" s="95"/>
      <c r="X81" s="95"/>
      <c r="Y81" s="95"/>
      <c r="Z81" s="95"/>
      <c r="AA81" s="95"/>
      <c r="AB81" s="95"/>
      <c r="AC81" s="95"/>
    </row>
    <row r="82" ht="15.75" customHeight="1" spans="1:29">
      <c r="A82" s="95"/>
      <c r="B82" s="95" t="str">
        <f>VLOOKUP(C82,lista_id!$D$2:$F$152,3,0)</f>
        <v>REGIONAL 5</v>
      </c>
      <c r="C82" s="102" t="str">
        <f>IFERROR(__xludf.DUMMYFUNCTION("""COMPUTED_VALUE"""),"CEMEI PROFESSORA LINDOMAR DOMINGOS DA SILVA ANJOS")</f>
        <v>CEMEI PROFESSORA LINDOMAR DOMINGOS DA SILVA ANJOS</v>
      </c>
      <c r="D82" s="95" t="str">
        <f>IFERROR(__xludf.DUMMYFUNCTION("""COMPUTED_VALUE"""),"INFANTIL 1")</f>
        <v>INFANTIL 1</v>
      </c>
      <c r="E82" s="95" t="str">
        <f>IFERROR(__xludf.DUMMYFUNCTION("""COMPUTED_VALUE"""),"Integral")</f>
        <v>Integral</v>
      </c>
      <c r="F82" s="95" t="str">
        <f>IFERROR(__xludf.DUMMYFUNCTION("""COMPUTED_VALUE"""),"Comum")</f>
        <v>Comum</v>
      </c>
      <c r="G82" s="95" t="str">
        <f>IFERROR(__xludf.DUMMYFUNCTION("""COMPUTED_VALUE"""),"11")</f>
        <v>11</v>
      </c>
      <c r="H82" s="95" t="str">
        <f>IFERROR(__xludf.DUMMYFUNCTION("""COMPUTED_VALUE"""),"26012592427")</f>
        <v>26012592427</v>
      </c>
      <c r="I82" s="105" t="str">
        <f>IFERROR(__xludf.DUMMYFUNCTION("""COMPUTED_VALUE"""),"28/01/2026 12:49:55")</f>
        <v>28/01/2026 12:49:55</v>
      </c>
      <c r="J82" s="95" t="str">
        <f>IFERROR(__xludf.DUMMYFUNCTION("""COMPUTED_VALUE"""),"KAYLLANY CECÍLIA FEITOZA SANTOS DA SILVA")</f>
        <v>KAYLLANY CECÍLIA FEITOZA SANTOS DA SILVA</v>
      </c>
      <c r="K82" s="95" t="str">
        <f>IFERROR(__xludf.DUMMYFUNCTION("""COMPUTED_VALUE"""),"004.046.764-30")</f>
        <v>004.046.764-30</v>
      </c>
      <c r="L82" s="106" t="str">
        <f>IFERROR(__xludf.DUMMYFUNCTION("""COMPUTED_VALUE"""),"10/09/2024")</f>
        <v>10/09/2024</v>
      </c>
      <c r="M82" s="106"/>
      <c r="N82" s="95" t="str">
        <f>IFERROR(__xludf.DUMMYFUNCTION("""COMPUTED_VALUE"""),"0")</f>
        <v>0</v>
      </c>
      <c r="O82" s="95"/>
      <c r="P82" s="95"/>
      <c r="Q82" s="95"/>
      <c r="R82" s="95"/>
      <c r="S82" s="95"/>
      <c r="T82" s="95"/>
      <c r="U82" s="95"/>
      <c r="V82" s="95"/>
      <c r="W82" s="95"/>
      <c r="X82" s="95"/>
      <c r="Y82" s="95"/>
      <c r="Z82" s="95"/>
      <c r="AA82" s="95"/>
      <c r="AB82" s="95"/>
      <c r="AC82" s="95"/>
    </row>
    <row r="83" ht="15.75" customHeight="1" spans="1:29">
      <c r="A83" s="95"/>
      <c r="B83" s="95" t="str">
        <f>VLOOKUP(C83,lista_id!$D$2:$F$152,3,0)</f>
        <v>REGIONAL 5</v>
      </c>
      <c r="C83" s="102" t="str">
        <f>IFERROR(__xludf.DUMMYFUNCTION("""COMPUTED_VALUE"""),"CEMEI PROFESSORA LINDOMAR DOMINGOS DA SILVA ANJOS")</f>
        <v>CEMEI PROFESSORA LINDOMAR DOMINGOS DA SILVA ANJOS</v>
      </c>
      <c r="D83" s="95" t="str">
        <f>IFERROR(__xludf.DUMMYFUNCTION("""COMPUTED_VALUE"""),"INFANTIL 1")</f>
        <v>INFANTIL 1</v>
      </c>
      <c r="E83" s="95" t="str">
        <f>IFERROR(__xludf.DUMMYFUNCTION("""COMPUTED_VALUE"""),"Integral")</f>
        <v>Integral</v>
      </c>
      <c r="F83" s="95" t="str">
        <f>IFERROR(__xludf.DUMMYFUNCTION("""COMPUTED_VALUE"""),"Comum")</f>
        <v>Comum</v>
      </c>
      <c r="G83" s="95" t="str">
        <f>IFERROR(__xludf.DUMMYFUNCTION("""COMPUTED_VALUE"""),"12")</f>
        <v>12</v>
      </c>
      <c r="H83" s="95" t="str">
        <f>IFERROR(__xludf.DUMMYFUNCTION("""COMPUTED_VALUE"""),"26012985200")</f>
        <v>26012985200</v>
      </c>
      <c r="I83" s="103" t="str">
        <f>IFERROR(__xludf.DUMMYFUNCTION("""COMPUTED_VALUE"""),"28/01/2026 20:34:21")</f>
        <v>28/01/2026 20:34:21</v>
      </c>
      <c r="J83" s="95" t="str">
        <f>IFERROR(__xludf.DUMMYFUNCTION("""COMPUTED_VALUE"""),"LUNNA HÊLOA PINHEIRO DOS SANTOS")</f>
        <v>LUNNA HÊLOA PINHEIRO DOS SANTOS</v>
      </c>
      <c r="K83" s="95" t="str">
        <f>IFERROR(__xludf.DUMMYFUNCTION("""COMPUTED_VALUE"""),"002.535.554-69")</f>
        <v>002.535.554-69</v>
      </c>
      <c r="L83" s="104" t="str">
        <f>IFERROR(__xludf.DUMMYFUNCTION("""COMPUTED_VALUE"""),"01/04/2024")</f>
        <v>01/04/2024</v>
      </c>
      <c r="M83" s="104"/>
      <c r="N83" s="95" t="str">
        <f>IFERROR(__xludf.DUMMYFUNCTION("""COMPUTED_VALUE"""),"0")</f>
        <v>0</v>
      </c>
      <c r="O83" s="95"/>
      <c r="P83" s="95"/>
      <c r="Q83" s="95"/>
      <c r="R83" s="95"/>
      <c r="S83" s="95"/>
      <c r="T83" s="95"/>
      <c r="U83" s="95"/>
      <c r="V83" s="95"/>
      <c r="W83" s="95"/>
      <c r="X83" s="95"/>
      <c r="Y83" s="95"/>
      <c r="Z83" s="95"/>
      <c r="AA83" s="95"/>
      <c r="AB83" s="95"/>
      <c r="AC83" s="95"/>
    </row>
    <row r="84" ht="15.75" customHeight="1" spans="1:29">
      <c r="A84" s="95"/>
      <c r="B84" s="95" t="str">
        <f>VLOOKUP(C84,lista_id!$D$2:$F$152,3,0)</f>
        <v>REGIONAL 5</v>
      </c>
      <c r="C84" s="102" t="str">
        <f>IFERROR(__xludf.DUMMYFUNCTION("""COMPUTED_VALUE"""),"CEMEI PROFESSORA LINDOMAR DOMINGOS DA SILVA ANJOS")</f>
        <v>CEMEI PROFESSORA LINDOMAR DOMINGOS DA SILVA ANJOS</v>
      </c>
      <c r="D84" s="95" t="str">
        <f>IFERROR(__xludf.DUMMYFUNCTION("""COMPUTED_VALUE"""),"INFANTIL 1")</f>
        <v>INFANTIL 1</v>
      </c>
      <c r="E84" s="95" t="str">
        <f>IFERROR(__xludf.DUMMYFUNCTION("""COMPUTED_VALUE"""),"Integral")</f>
        <v>Integral</v>
      </c>
      <c r="F84" s="95" t="str">
        <f>IFERROR(__xludf.DUMMYFUNCTION("""COMPUTED_VALUE"""),"Comum")</f>
        <v>Comum</v>
      </c>
      <c r="G84" s="95" t="str">
        <f>IFERROR(__xludf.DUMMYFUNCTION("""COMPUTED_VALUE"""),"13")</f>
        <v>13</v>
      </c>
      <c r="H84" s="95" t="str">
        <f>IFERROR(__xludf.DUMMYFUNCTION("""COMPUTED_VALUE"""),"26022123883")</f>
        <v>26022123883</v>
      </c>
      <c r="I84" s="103" t="str">
        <f>IFERROR(__xludf.DUMMYFUNCTION("""COMPUTED_VALUE"""),"06/02/2026 14:12:06")</f>
        <v>06/02/2026 14:12:06</v>
      </c>
      <c r="J84" s="95" t="str">
        <f>IFERROR(__xludf.DUMMYFUNCTION("""COMPUTED_VALUE"""),"VIVIANE MARIA DE SANTANA FERREIRA")</f>
        <v>VIVIANE MARIA DE SANTANA FERREIRA</v>
      </c>
      <c r="K84" s="95" t="str">
        <f>IFERROR(__xludf.DUMMYFUNCTION("""COMPUTED_VALUE"""),"003.219.974-09")</f>
        <v>003.219.974-09</v>
      </c>
      <c r="L84" s="104" t="str">
        <f>IFERROR(__xludf.DUMMYFUNCTION("""COMPUTED_VALUE"""),"16/04/2024")</f>
        <v>16/04/2024</v>
      </c>
      <c r="M84" s="104"/>
      <c r="N84" s="95" t="str">
        <f>IFERROR(__xludf.DUMMYFUNCTION("""COMPUTED_VALUE"""),"0")</f>
        <v>0</v>
      </c>
      <c r="O84" s="95"/>
      <c r="P84" s="95"/>
      <c r="Q84" s="95"/>
      <c r="R84" s="95"/>
      <c r="S84" s="95"/>
      <c r="T84" s="95"/>
      <c r="U84" s="95"/>
      <c r="V84" s="95"/>
      <c r="W84" s="95"/>
      <c r="X84" s="95"/>
      <c r="Y84" s="95"/>
      <c r="Z84" s="95"/>
      <c r="AA84" s="95"/>
      <c r="AB84" s="95"/>
      <c r="AC84" s="95"/>
    </row>
    <row r="85" ht="15.75" customHeight="1" spans="1:29">
      <c r="A85" s="95"/>
      <c r="B85" s="95" t="str">
        <f>VLOOKUP(C85,lista_id!$D$2:$F$152,3,0)</f>
        <v>REGIONAL 5</v>
      </c>
      <c r="C85" s="102" t="str">
        <f>IFERROR(__xludf.DUMMYFUNCTION("""COMPUTED_VALUE"""),"CEMEI PROFESSORA LINDOMAR DOMINGOS DA SILVA ANJOS")</f>
        <v>CEMEI PROFESSORA LINDOMAR DOMINGOS DA SILVA ANJOS</v>
      </c>
      <c r="D85" s="95" t="str">
        <f>IFERROR(__xludf.DUMMYFUNCTION("""COMPUTED_VALUE"""),"INFANTIL 1")</f>
        <v>INFANTIL 1</v>
      </c>
      <c r="E85" s="95" t="str">
        <f>IFERROR(__xludf.DUMMYFUNCTION("""COMPUTED_VALUE"""),"Integral")</f>
        <v>Integral</v>
      </c>
      <c r="F85" s="95" t="str">
        <f>IFERROR(__xludf.DUMMYFUNCTION("""COMPUTED_VALUE"""),"Comum")</f>
        <v>Comum</v>
      </c>
      <c r="G85" s="95" t="str">
        <f>IFERROR(__xludf.DUMMYFUNCTION("""COMPUTED_VALUE"""),"14")</f>
        <v>14</v>
      </c>
      <c r="H85" s="95" t="str">
        <f>IFERROR(__xludf.DUMMYFUNCTION("""COMPUTED_VALUE"""),"26022140859")</f>
        <v>26022140859</v>
      </c>
      <c r="I85" s="103" t="str">
        <f>IFERROR(__xludf.DUMMYFUNCTION("""COMPUTED_VALUE"""),"11/02/2026 09:26:12")</f>
        <v>11/02/2026 09:26:12</v>
      </c>
      <c r="J85" s="95" t="str">
        <f>IFERROR(__xludf.DUMMYFUNCTION("""COMPUTED_VALUE"""),"KAUANY ISABELLE DA SILVA SANTOS")</f>
        <v>KAUANY ISABELLE DA SILVA SANTOS</v>
      </c>
      <c r="K85" s="95" t="str">
        <f>IFERROR(__xludf.DUMMYFUNCTION("""COMPUTED_VALUE"""),"004.058.404-62")</f>
        <v>004.058.404-62</v>
      </c>
      <c r="L85" s="104" t="str">
        <f>IFERROR(__xludf.DUMMYFUNCTION("""COMPUTED_VALUE"""),"13/09/2024")</f>
        <v>13/09/2024</v>
      </c>
      <c r="M85" s="104"/>
      <c r="N85" s="95" t="str">
        <f>IFERROR(__xludf.DUMMYFUNCTION("""COMPUTED_VALUE"""),"0")</f>
        <v>0</v>
      </c>
      <c r="O85" s="95"/>
      <c r="P85" s="95"/>
      <c r="Q85" s="95"/>
      <c r="R85" s="95"/>
      <c r="S85" s="95"/>
      <c r="T85" s="95"/>
      <c r="U85" s="95"/>
      <c r="V85" s="95"/>
      <c r="W85" s="95"/>
      <c r="X85" s="95"/>
      <c r="Y85" s="95"/>
      <c r="Z85" s="95"/>
      <c r="AA85" s="95"/>
      <c r="AB85" s="95"/>
      <c r="AC85" s="95"/>
    </row>
    <row r="86" ht="15.75" customHeight="1" spans="1:29">
      <c r="A86" s="95"/>
      <c r="B86" s="95" t="str">
        <f>VLOOKUP(C86,lista_id!$D$2:$F$152,3,0)</f>
        <v>REGIONAL 5</v>
      </c>
      <c r="C86" s="102" t="str">
        <f>IFERROR(__xludf.DUMMYFUNCTION("""COMPUTED_VALUE"""),"CEMEI PROFESSORA LINDOMAR DOMINGOS DA SILVA ANJOS")</f>
        <v>CEMEI PROFESSORA LINDOMAR DOMINGOS DA SILVA ANJOS</v>
      </c>
      <c r="D86" s="95" t="str">
        <f>IFERROR(__xludf.DUMMYFUNCTION("""COMPUTED_VALUE"""),"INFANTIL 1")</f>
        <v>INFANTIL 1</v>
      </c>
      <c r="E86" s="95" t="str">
        <f>IFERROR(__xludf.DUMMYFUNCTION("""COMPUTED_VALUE"""),"Integral")</f>
        <v>Integral</v>
      </c>
      <c r="F86" s="95" t="str">
        <f>IFERROR(__xludf.DUMMYFUNCTION("""COMPUTED_VALUE"""),"Comum")</f>
        <v>Comum</v>
      </c>
      <c r="G86" s="95" t="str">
        <f>IFERROR(__xludf.DUMMYFUNCTION("""COMPUTED_VALUE"""),"15")</f>
        <v>15</v>
      </c>
      <c r="H86" s="95" t="str">
        <f>IFERROR(__xludf.DUMMYFUNCTION("""COMPUTED_VALUE"""),"26022959951")</f>
        <v>26022959951</v>
      </c>
      <c r="I86" s="103" t="str">
        <f>IFERROR(__xludf.DUMMYFUNCTION("""COMPUTED_VALUE"""),"26/02/2026 23:54:06")</f>
        <v>26/02/2026 23:54:06</v>
      </c>
      <c r="J86" s="95" t="str">
        <f>IFERROR(__xludf.DUMMYFUNCTION("""COMPUTED_VALUE"""),"ARTHUR MIGUEL DOS SANTOS ROCHA")</f>
        <v>ARTHUR MIGUEL DOS SANTOS ROCHA</v>
      </c>
      <c r="K86" s="95" t="str">
        <f>IFERROR(__xludf.DUMMYFUNCTION("""COMPUTED_VALUE"""),"005.161.924-50")</f>
        <v>005.161.924-50</v>
      </c>
      <c r="L86" s="104" t="str">
        <f>IFERROR(__xludf.DUMMYFUNCTION("""COMPUTED_VALUE"""),"21/01/2025")</f>
        <v>21/01/2025</v>
      </c>
      <c r="M86" s="104"/>
      <c r="N86" s="95" t="str">
        <f>IFERROR(__xludf.DUMMYFUNCTION("""COMPUTED_VALUE"""),"0")</f>
        <v>0</v>
      </c>
      <c r="O86" s="95"/>
      <c r="P86" s="95"/>
      <c r="Q86" s="95"/>
      <c r="R86" s="95"/>
      <c r="S86" s="95"/>
      <c r="T86" s="95"/>
      <c r="U86" s="95"/>
      <c r="V86" s="95"/>
      <c r="W86" s="95"/>
      <c r="X86" s="95"/>
      <c r="Y86" s="95"/>
      <c r="Z86" s="95"/>
      <c r="AA86" s="95"/>
      <c r="AB86" s="95"/>
      <c r="AC86" s="95"/>
    </row>
    <row r="87" ht="15.75" customHeight="1" spans="1:29">
      <c r="A87" s="95"/>
      <c r="B87" s="95" t="str">
        <f>VLOOKUP(C87,lista_id!$D$2:$F$152,3,0)</f>
        <v>REGIONAL 5</v>
      </c>
      <c r="C87" s="102" t="str">
        <f>IFERROR(__xludf.DUMMYFUNCTION("""COMPUTED_VALUE"""),"CEMEI PROFESSORA LINDOMAR DOMINGOS DA SILVA ANJOS")</f>
        <v>CEMEI PROFESSORA LINDOMAR DOMINGOS DA SILVA ANJOS</v>
      </c>
      <c r="D87" s="95" t="str">
        <f>IFERROR(__xludf.DUMMYFUNCTION("""COMPUTED_VALUE"""),"INFANTIL 1")</f>
        <v>INFANTIL 1</v>
      </c>
      <c r="E87" s="95" t="str">
        <f>IFERROR(__xludf.DUMMYFUNCTION("""COMPUTED_VALUE"""),"Integral")</f>
        <v>Integral</v>
      </c>
      <c r="F87" s="95" t="str">
        <f>IFERROR(__xludf.DUMMYFUNCTION("""COMPUTED_VALUE"""),"Comum")</f>
        <v>Comum</v>
      </c>
      <c r="G87" s="95" t="str">
        <f>IFERROR(__xludf.DUMMYFUNCTION("""COMPUTED_VALUE"""),"16")</f>
        <v>16</v>
      </c>
      <c r="H87" s="95" t="str">
        <f>IFERROR(__xludf.DUMMYFUNCTION("""COMPUTED_VALUE"""),"26032017118")</f>
        <v>26032017118</v>
      </c>
      <c r="I87" s="103" t="str">
        <f>IFERROR(__xludf.DUMMYFUNCTION("""COMPUTED_VALUE"""),"03/03/2026 13:59:55")</f>
        <v>03/03/2026 13:59:55</v>
      </c>
      <c r="J87" s="95" t="str">
        <f>IFERROR(__xludf.DUMMYFUNCTION("""COMPUTED_VALUE"""),"GAEL ANTÔNIO DEODATO DE MEDEIROS")</f>
        <v>GAEL ANTÔNIO DEODATO DE MEDEIROS</v>
      </c>
      <c r="K87" s="95" t="str">
        <f>IFERROR(__xludf.DUMMYFUNCTION("""COMPUTED_VALUE"""),"005.879.454-94")</f>
        <v>005.879.454-94</v>
      </c>
      <c r="L87" s="104" t="str">
        <f>IFERROR(__xludf.DUMMYFUNCTION("""COMPUTED_VALUE"""),"05/04/2025")</f>
        <v>05/04/2025</v>
      </c>
      <c r="M87" s="104"/>
      <c r="N87" s="95" t="str">
        <f>IFERROR(__xludf.DUMMYFUNCTION("""COMPUTED_VALUE"""),"0")</f>
        <v>0</v>
      </c>
      <c r="O87" s="95"/>
      <c r="P87" s="95"/>
      <c r="Q87" s="95"/>
      <c r="R87" s="95"/>
      <c r="S87" s="95"/>
      <c r="T87" s="95"/>
      <c r="U87" s="95"/>
      <c r="V87" s="95"/>
      <c r="W87" s="95"/>
      <c r="X87" s="95"/>
      <c r="Y87" s="95"/>
      <c r="Z87" s="95"/>
      <c r="AA87" s="95"/>
      <c r="AB87" s="95"/>
      <c r="AC87" s="95"/>
    </row>
    <row r="88" ht="15.75" customHeight="1" spans="1:29">
      <c r="A88" s="95"/>
      <c r="B88" s="95" t="str">
        <f>VLOOKUP(C88,lista_id!$D$2:$F$152,3,0)</f>
        <v>REGIONAL 5</v>
      </c>
      <c r="C88" s="102" t="str">
        <f>IFERROR(__xludf.DUMMYFUNCTION("""COMPUTED_VALUE"""),"CEMEI PROFESSORA LINDOMAR DOMINGOS DA SILVA ANJOS")</f>
        <v>CEMEI PROFESSORA LINDOMAR DOMINGOS DA SILVA ANJOS</v>
      </c>
      <c r="D88" s="95" t="str">
        <f>IFERROR(__xludf.DUMMYFUNCTION("""COMPUTED_VALUE"""),"INFANTIL 1")</f>
        <v>INFANTIL 1</v>
      </c>
      <c r="E88" s="95" t="str">
        <f>IFERROR(__xludf.DUMMYFUNCTION("""COMPUTED_VALUE"""),"Integral")</f>
        <v>Integral</v>
      </c>
      <c r="F88" s="95" t="str">
        <f>IFERROR(__xludf.DUMMYFUNCTION("""COMPUTED_VALUE"""),"Comum")</f>
        <v>Comum</v>
      </c>
      <c r="G88" s="95" t="str">
        <f>IFERROR(__xludf.DUMMYFUNCTION("""COMPUTED_VALUE"""),"17")</f>
        <v>17</v>
      </c>
      <c r="H88" s="95" t="str">
        <f>IFERROR(__xludf.DUMMYFUNCTION("""COMPUTED_VALUE"""),"26032086833")</f>
        <v>26032086833</v>
      </c>
      <c r="I88" s="103" t="str">
        <f>IFERROR(__xludf.DUMMYFUNCTION("""COMPUTED_VALUE"""),"04/03/2026 10:32:01")</f>
        <v>04/03/2026 10:32:01</v>
      </c>
      <c r="J88" s="95" t="str">
        <f>IFERROR(__xludf.DUMMYFUNCTION("""COMPUTED_VALUE"""),"NOAH DANIEL MEDEIROS DA SILVA")</f>
        <v>NOAH DANIEL MEDEIROS DA SILVA</v>
      </c>
      <c r="K88" s="95" t="str">
        <f>IFERROR(__xludf.DUMMYFUNCTION("""COMPUTED_VALUE"""),"006.309.024-45")</f>
        <v>006.309.024-45</v>
      </c>
      <c r="L88" s="104" t="str">
        <f>IFERROR(__xludf.DUMMYFUNCTION("""COMPUTED_VALUE"""),"21/05/2025")</f>
        <v>21/05/2025</v>
      </c>
      <c r="M88" s="106"/>
      <c r="N88" s="95" t="str">
        <f>IFERROR(__xludf.DUMMYFUNCTION("""COMPUTED_VALUE"""),"0")</f>
        <v>0</v>
      </c>
      <c r="O88" s="95"/>
      <c r="P88" s="95"/>
      <c r="Q88" s="95"/>
      <c r="R88" s="95"/>
      <c r="S88" s="95"/>
      <c r="T88" s="95"/>
      <c r="U88" s="95"/>
      <c r="V88" s="95"/>
      <c r="W88" s="95"/>
      <c r="X88" s="95"/>
      <c r="Y88" s="95"/>
      <c r="Z88" s="95"/>
      <c r="AA88" s="95"/>
      <c r="AB88" s="95"/>
      <c r="AC88" s="95"/>
    </row>
    <row r="89" ht="15.75" customHeight="1" spans="1:29">
      <c r="A89" s="95"/>
      <c r="B89" s="95" t="str">
        <f>VLOOKUP(C89,lista_id!$D$2:$F$152,3,0)</f>
        <v>REGIONAL 5</v>
      </c>
      <c r="C89" s="102" t="str">
        <f>IFERROR(__xludf.DUMMYFUNCTION("""COMPUTED_VALUE"""),"CEMEI PROFESSORA LINDOMAR DOMINGOS DA SILVA ANJOS")</f>
        <v>CEMEI PROFESSORA LINDOMAR DOMINGOS DA SILVA ANJOS</v>
      </c>
      <c r="D89" s="95" t="str">
        <f>IFERROR(__xludf.DUMMYFUNCTION("""COMPUTED_VALUE"""),"INFANTIL 1")</f>
        <v>INFANTIL 1</v>
      </c>
      <c r="E89" s="95" t="str">
        <f>IFERROR(__xludf.DUMMYFUNCTION("""COMPUTED_VALUE"""),"Integral")</f>
        <v>Integral</v>
      </c>
      <c r="F89" s="95" t="str">
        <f>IFERROR(__xludf.DUMMYFUNCTION("""COMPUTED_VALUE"""),"Comum")</f>
        <v>Comum</v>
      </c>
      <c r="G89" s="95" t="str">
        <f>IFERROR(__xludf.DUMMYFUNCTION("""COMPUTED_VALUE"""),"18")</f>
        <v>18</v>
      </c>
      <c r="H89" s="95" t="str">
        <f>IFERROR(__xludf.DUMMYFUNCTION("""COMPUTED_VALUE"""),"26032205282")</f>
        <v>26032205282</v>
      </c>
      <c r="I89" s="103" t="str">
        <f>IFERROR(__xludf.DUMMYFUNCTION("""COMPUTED_VALUE"""),"23/03/2026 12:35:29")</f>
        <v>23/03/2026 12:35:29</v>
      </c>
      <c r="J89" s="95" t="str">
        <f>IFERROR(__xludf.DUMMYFUNCTION("""COMPUTED_VALUE"""),"RAVI GABRIEL DA ROCHA PRAEIRO")</f>
        <v>RAVI GABRIEL DA ROCHA PRAEIRO</v>
      </c>
      <c r="K89" s="95" t="str">
        <f>IFERROR(__xludf.DUMMYFUNCTION("""COMPUTED_VALUE"""),"022.291.614-15")</f>
        <v>022.291.614-15</v>
      </c>
      <c r="L89" s="106" t="str">
        <f>IFERROR(__xludf.DUMMYFUNCTION("""COMPUTED_VALUE"""),"07/11/2025")</f>
        <v>07/11/2025</v>
      </c>
      <c r="M89" s="104"/>
      <c r="N89" s="95" t="str">
        <f>IFERROR(__xludf.DUMMYFUNCTION("""COMPUTED_VALUE"""),"0")</f>
        <v>0</v>
      </c>
      <c r="O89" s="95"/>
      <c r="P89" s="95"/>
      <c r="Q89" s="95"/>
      <c r="R89" s="95"/>
      <c r="S89" s="95"/>
      <c r="T89" s="95"/>
      <c r="U89" s="95"/>
      <c r="V89" s="95"/>
      <c r="W89" s="95"/>
      <c r="X89" s="95"/>
      <c r="Y89" s="95"/>
      <c r="Z89" s="95"/>
      <c r="AA89" s="95"/>
      <c r="AB89" s="95"/>
      <c r="AC89" s="95"/>
    </row>
    <row r="90" ht="15.75" customHeight="1" spans="1:29">
      <c r="A90" s="95"/>
      <c r="B90" s="95" t="str">
        <f>VLOOKUP(C90,lista_id!$D$2:$F$152,3,0)</f>
        <v>REGIONAL 5</v>
      </c>
      <c r="C90" s="102" t="str">
        <f>IFERROR(__xludf.DUMMYFUNCTION("""COMPUTED_VALUE"""),"CEMEI PROFESSORA LINDOMAR DOMINGOS DA SILVA ANJOS")</f>
        <v>CEMEI PROFESSORA LINDOMAR DOMINGOS DA SILVA ANJOS</v>
      </c>
      <c r="D90" s="95" t="str">
        <f>IFERROR(__xludf.DUMMYFUNCTION("""COMPUTED_VALUE"""),"INFANTIL 1")</f>
        <v>INFANTIL 1</v>
      </c>
      <c r="E90" s="95" t="str">
        <f>IFERROR(__xludf.DUMMYFUNCTION("""COMPUTED_VALUE"""),"Integral")</f>
        <v>Integral</v>
      </c>
      <c r="F90" s="95" t="str">
        <f>IFERROR(__xludf.DUMMYFUNCTION("""COMPUTED_VALUE"""),"Comum")</f>
        <v>Comum</v>
      </c>
      <c r="G90" s="95" t="str">
        <f>IFERROR(__xludf.DUMMYFUNCTION("""COMPUTED_VALUE"""),"19")</f>
        <v>19</v>
      </c>
      <c r="H90" s="95" t="str">
        <f>IFERROR(__xludf.DUMMYFUNCTION("""COMPUTED_VALUE"""),"26032492374")</f>
        <v>26032492374</v>
      </c>
      <c r="I90" s="103" t="str">
        <f>IFERROR(__xludf.DUMMYFUNCTION("""COMPUTED_VALUE"""),"30/03/2026 09:26:51")</f>
        <v>30/03/2026 09:26:51</v>
      </c>
      <c r="J90" s="95" t="str">
        <f>IFERROR(__xludf.DUMMYFUNCTION("""COMPUTED_VALUE"""),"FRANCISCO CAVALCANTI MAGALHÃES")</f>
        <v>FRANCISCO CAVALCANTI MAGALHÃES</v>
      </c>
      <c r="K90" s="95" t="str">
        <f>IFERROR(__xludf.DUMMYFUNCTION("""COMPUTED_VALUE"""),"027.792.694-72")</f>
        <v>027.792.694-72</v>
      </c>
      <c r="L90" s="104" t="str">
        <f>IFERROR(__xludf.DUMMYFUNCTION("""COMPUTED_VALUE"""),"26/11/2025")</f>
        <v>26/11/2025</v>
      </c>
      <c r="M90" s="104"/>
      <c r="N90" s="95" t="str">
        <f>IFERROR(__xludf.DUMMYFUNCTION("""COMPUTED_VALUE"""),"0")</f>
        <v>0</v>
      </c>
      <c r="O90" s="95"/>
      <c r="P90" s="95"/>
      <c r="Q90" s="95"/>
      <c r="R90" s="95"/>
      <c r="S90" s="95"/>
      <c r="T90" s="95"/>
      <c r="U90" s="95"/>
      <c r="V90" s="95"/>
      <c r="W90" s="95"/>
      <c r="X90" s="95"/>
      <c r="Y90" s="95"/>
      <c r="Z90" s="95"/>
      <c r="AA90" s="95"/>
      <c r="AB90" s="95"/>
      <c r="AC90" s="95"/>
    </row>
    <row r="91" ht="15.75" customHeight="1" spans="1:29">
      <c r="A91" s="95"/>
      <c r="B91" s="95" t="str">
        <f>VLOOKUP(C91,lista_id!$D$2:$F$152,3,0)</f>
        <v>REGIONAL 5</v>
      </c>
      <c r="C91" s="102" t="str">
        <f>IFERROR(__xludf.DUMMYFUNCTION("""COMPUTED_VALUE"""),"CEMEI PROFESSORA LINDOMAR DOMINGOS DA SILVA ANJOS")</f>
        <v>CEMEI PROFESSORA LINDOMAR DOMINGOS DA SILVA ANJOS</v>
      </c>
      <c r="D91" s="95" t="str">
        <f>IFERROR(__xludf.DUMMYFUNCTION("""COMPUTED_VALUE"""),"INFANTIL 1")</f>
        <v>INFANTIL 1</v>
      </c>
      <c r="E91" s="95" t="str">
        <f>IFERROR(__xludf.DUMMYFUNCTION("""COMPUTED_VALUE"""),"Integral")</f>
        <v>Integral</v>
      </c>
      <c r="F91" s="95" t="str">
        <f>IFERROR(__xludf.DUMMYFUNCTION("""COMPUTED_VALUE"""),"Comum")</f>
        <v>Comum</v>
      </c>
      <c r="G91" s="95" t="str">
        <f>IFERROR(__xludf.DUMMYFUNCTION("""COMPUTED_VALUE"""),"20")</f>
        <v>20</v>
      </c>
      <c r="H91" s="95" t="str">
        <f>IFERROR(__xludf.DUMMYFUNCTION("""COMPUTED_VALUE"""),"26042496733")</f>
        <v>26042496733</v>
      </c>
      <c r="I91" s="103" t="str">
        <f>IFERROR(__xludf.DUMMYFUNCTION("""COMPUTED_VALUE"""),"01/04/2026 11:07:18")</f>
        <v>01/04/2026 11:07:18</v>
      </c>
      <c r="J91" s="95" t="str">
        <f>IFERROR(__xludf.DUMMYFUNCTION("""COMPUTED_VALUE"""),"MARIA ISADORA SANTOS SEVERO")</f>
        <v>MARIA ISADORA SANTOS SEVERO</v>
      </c>
      <c r="K91" s="95" t="str">
        <f>IFERROR(__xludf.DUMMYFUNCTION("""COMPUTED_VALUE"""),"054.059.888-71")</f>
        <v>054.059.888-71</v>
      </c>
      <c r="L91" s="104" t="str">
        <f>IFERROR(__xludf.DUMMYFUNCTION("""COMPUTED_VALUE"""),"03/09/2024")</f>
        <v>03/09/2024</v>
      </c>
      <c r="M91" s="104"/>
      <c r="N91" s="95" t="str">
        <f>IFERROR(__xludf.DUMMYFUNCTION("""COMPUTED_VALUE"""),"0")</f>
        <v>0</v>
      </c>
      <c r="O91" s="95"/>
      <c r="P91" s="95"/>
      <c r="Q91" s="95"/>
      <c r="R91" s="95"/>
      <c r="S91" s="95"/>
      <c r="T91" s="95"/>
      <c r="U91" s="95"/>
      <c r="V91" s="95"/>
      <c r="W91" s="95"/>
      <c r="X91" s="95"/>
      <c r="Y91" s="95"/>
      <c r="Z91" s="95"/>
      <c r="AA91" s="95"/>
      <c r="AB91" s="95"/>
      <c r="AC91" s="95"/>
    </row>
    <row r="92" ht="15.75" customHeight="1" spans="1:29">
      <c r="A92" s="95"/>
      <c r="B92" s="95" t="str">
        <f>VLOOKUP(C92,lista_id!$D$2:$F$152,3,0)</f>
        <v>REGIONAL 5</v>
      </c>
      <c r="C92" s="102" t="str">
        <f>IFERROR(__xludf.DUMMYFUNCTION("""COMPUTED_VALUE"""),"CEMEI PROFESSORA LINDOMAR DOMINGOS DA SILVA ANJOS")</f>
        <v>CEMEI PROFESSORA LINDOMAR DOMINGOS DA SILVA ANJOS</v>
      </c>
      <c r="D92" s="95" t="str">
        <f>IFERROR(__xludf.DUMMYFUNCTION("""COMPUTED_VALUE"""),"INFANTIL 1")</f>
        <v>INFANTIL 1</v>
      </c>
      <c r="E92" s="95" t="str">
        <f>IFERROR(__xludf.DUMMYFUNCTION("""COMPUTED_VALUE"""),"Integral")</f>
        <v>Integral</v>
      </c>
      <c r="F92" s="95" t="str">
        <f>IFERROR(__xludf.DUMMYFUNCTION("""COMPUTED_VALUE"""),"Comum")</f>
        <v>Comum</v>
      </c>
      <c r="G92" s="95" t="str">
        <f>IFERROR(__xludf.DUMMYFUNCTION("""COMPUTED_VALUE"""),"21")</f>
        <v>21</v>
      </c>
      <c r="H92" s="95" t="str">
        <f>IFERROR(__xludf.DUMMYFUNCTION("""COMPUTED_VALUE"""),"26042315280")</f>
        <v>26042315280</v>
      </c>
      <c r="I92" s="103" t="str">
        <f>IFERROR(__xludf.DUMMYFUNCTION("""COMPUTED_VALUE"""),"08/04/2026 16:32:34")</f>
        <v>08/04/2026 16:32:34</v>
      </c>
      <c r="J92" s="95" t="str">
        <f>IFERROR(__xludf.DUMMYFUNCTION("""COMPUTED_VALUE"""),"MATTEO BERNARDO MONTEIRO ARAÚJO")</f>
        <v>MATTEO BERNARDO MONTEIRO ARAÚJO</v>
      </c>
      <c r="K92" s="95" t="str">
        <f>IFERROR(__xludf.DUMMYFUNCTION("""COMPUTED_VALUE"""),"005.825.614-85")</f>
        <v>005.825.614-85</v>
      </c>
      <c r="L92" s="104" t="str">
        <f>IFERROR(__xludf.DUMMYFUNCTION("""COMPUTED_VALUE"""),"01/04/2025")</f>
        <v>01/04/2025</v>
      </c>
      <c r="M92" s="104"/>
      <c r="N92" s="95" t="str">
        <f>IFERROR(__xludf.DUMMYFUNCTION("""COMPUTED_VALUE"""),"0")</f>
        <v>0</v>
      </c>
      <c r="O92" s="95"/>
      <c r="P92" s="95"/>
      <c r="Q92" s="95"/>
      <c r="R92" s="95"/>
      <c r="S92" s="95"/>
      <c r="T92" s="95"/>
      <c r="U92" s="95"/>
      <c r="V92" s="95"/>
      <c r="W92" s="95"/>
      <c r="X92" s="95"/>
      <c r="Y92" s="95"/>
      <c r="Z92" s="95"/>
      <c r="AA92" s="95"/>
      <c r="AB92" s="95"/>
      <c r="AC92" s="95"/>
    </row>
    <row r="93" ht="15.75" customHeight="1" spans="1:29">
      <c r="A93" s="95"/>
      <c r="B93" s="95" t="str">
        <f>VLOOKUP(C93,lista_id!$D$2:$F$152,3,0)</f>
        <v>REGIONAL 5</v>
      </c>
      <c r="C93" s="102" t="str">
        <f>IFERROR(__xludf.DUMMYFUNCTION("""COMPUTED_VALUE"""),"CEMEI PROFESSORA LINDOMAR DOMINGOS DA SILVA ANJOS")</f>
        <v>CEMEI PROFESSORA LINDOMAR DOMINGOS DA SILVA ANJOS</v>
      </c>
      <c r="D93" s="95" t="str">
        <f>IFERROR(__xludf.DUMMYFUNCTION("""COMPUTED_VALUE"""),"INFANTIL 1")</f>
        <v>INFANTIL 1</v>
      </c>
      <c r="E93" s="95" t="str">
        <f>IFERROR(__xludf.DUMMYFUNCTION("""COMPUTED_VALUE"""),"Integral")</f>
        <v>Integral</v>
      </c>
      <c r="F93" s="95" t="str">
        <f>IFERROR(__xludf.DUMMYFUNCTION("""COMPUTED_VALUE"""),"Comum")</f>
        <v>Comum</v>
      </c>
      <c r="G93" s="95" t="str">
        <f>IFERROR(__xludf.DUMMYFUNCTION("""COMPUTED_VALUE"""),"22")</f>
        <v>22</v>
      </c>
      <c r="H93" s="95" t="str">
        <f>IFERROR(__xludf.DUMMYFUNCTION("""COMPUTED_VALUE"""),"26042811161")</f>
        <v>26042811161</v>
      </c>
      <c r="I93" s="103" t="str">
        <f>IFERROR(__xludf.DUMMYFUNCTION("""COMPUTED_VALUE"""),"15/04/2026 13:07:53")</f>
        <v>15/04/2026 13:07:53</v>
      </c>
      <c r="J93" s="95" t="str">
        <f>IFERROR(__xludf.DUMMYFUNCTION("""COMPUTED_VALUE"""),"HADASSA ROSA MACIEL")</f>
        <v>HADASSA ROSA MACIEL</v>
      </c>
      <c r="K93" s="95" t="str">
        <f>IFERROR(__xludf.DUMMYFUNCTION("""COMPUTED_VALUE"""),"007.185.654-44")</f>
        <v>007.185.654-44</v>
      </c>
      <c r="L93" s="104" t="str">
        <f>IFERROR(__xludf.DUMMYFUNCTION("""COMPUTED_VALUE"""),"30/08/2025")</f>
        <v>30/08/2025</v>
      </c>
      <c r="M93" s="104"/>
      <c r="N93" s="95" t="str">
        <f>IFERROR(__xludf.DUMMYFUNCTION("""COMPUTED_VALUE"""),"0")</f>
        <v>0</v>
      </c>
      <c r="O93" s="95"/>
      <c r="P93" s="95"/>
      <c r="Q93" s="95"/>
      <c r="R93" s="95"/>
      <c r="S93" s="95"/>
      <c r="T93" s="95"/>
      <c r="U93" s="95"/>
      <c r="V93" s="95"/>
      <c r="W93" s="95"/>
      <c r="X93" s="95"/>
      <c r="Y93" s="95"/>
      <c r="Z93" s="95"/>
      <c r="AA93" s="95"/>
      <c r="AB93" s="95"/>
      <c r="AC93" s="95"/>
    </row>
    <row r="94" ht="15.75" customHeight="1" spans="1:29">
      <c r="A94" s="95"/>
      <c r="B94" s="95" t="str">
        <f>VLOOKUP(C94,lista_id!$D$2:$F$152,3,0)</f>
        <v>REGIONAL 5</v>
      </c>
      <c r="C94" s="102" t="str">
        <f>IFERROR(__xludf.DUMMYFUNCTION("""COMPUTED_VALUE"""),"CEMEI PROFESSORA LINDOMAR DOMINGOS DA SILVA ANJOS")</f>
        <v>CEMEI PROFESSORA LINDOMAR DOMINGOS DA SILVA ANJOS</v>
      </c>
      <c r="D94" s="95" t="str">
        <f>IFERROR(__xludf.DUMMYFUNCTION("""COMPUTED_VALUE"""),"INFANTIL 1")</f>
        <v>INFANTIL 1</v>
      </c>
      <c r="E94" s="95" t="str">
        <f>IFERROR(__xludf.DUMMYFUNCTION("""COMPUTED_VALUE"""),"Integral")</f>
        <v>Integral</v>
      </c>
      <c r="F94" s="95" t="str">
        <f>IFERROR(__xludf.DUMMYFUNCTION("""COMPUTED_VALUE"""),"Comum")</f>
        <v>Comum</v>
      </c>
      <c r="G94" s="95" t="str">
        <f>IFERROR(__xludf.DUMMYFUNCTION("""COMPUTED_VALUE"""),"23")</f>
        <v>23</v>
      </c>
      <c r="H94" s="95" t="str">
        <f>IFERROR(__xludf.DUMMYFUNCTION("""COMPUTED_VALUE"""),"26052053717")</f>
        <v>26052053717</v>
      </c>
      <c r="I94" s="103" t="str">
        <f>IFERROR(__xludf.DUMMYFUNCTION("""COMPUTED_VALUE"""),"04/05/2026 10:11:49")</f>
        <v>04/05/2026 10:11:49</v>
      </c>
      <c r="J94" s="95" t="str">
        <f>IFERROR(__xludf.DUMMYFUNCTION("""COMPUTED_VALUE"""),"MATTEO ALEJANDRO DE ARAÚJO ESCOBAR")</f>
        <v>MATTEO ALEJANDRO DE ARAÚJO ESCOBAR</v>
      </c>
      <c r="K94" s="95" t="str">
        <f>IFERROR(__xludf.DUMMYFUNCTION("""COMPUTED_VALUE"""),"005.682.884-59")</f>
        <v>005.682.884-59</v>
      </c>
      <c r="L94" s="106" t="str">
        <f>IFERROR(__xludf.DUMMYFUNCTION("""COMPUTED_VALUE"""),"11/03/2025")</f>
        <v>11/03/2025</v>
      </c>
      <c r="M94" s="104"/>
      <c r="N94" s="95" t="str">
        <f>IFERROR(__xludf.DUMMYFUNCTION("""COMPUTED_VALUE"""),"0")</f>
        <v>0</v>
      </c>
      <c r="O94" s="95"/>
      <c r="P94" s="95"/>
      <c r="Q94" s="95"/>
      <c r="R94" s="95"/>
      <c r="S94" s="95"/>
      <c r="T94" s="95"/>
      <c r="U94" s="95"/>
      <c r="V94" s="95"/>
      <c r="W94" s="95"/>
      <c r="X94" s="95"/>
      <c r="Y94" s="95"/>
      <c r="Z94" s="95"/>
      <c r="AA94" s="95"/>
      <c r="AB94" s="95"/>
      <c r="AC94" s="95"/>
    </row>
    <row r="95" ht="15.75" customHeight="1" spans="1:29">
      <c r="A95" s="95"/>
      <c r="B95" s="95" t="str">
        <f>VLOOKUP(C95,lista_id!$D$2:$F$152,3,0)</f>
        <v>REGIONAL 5</v>
      </c>
      <c r="C95" s="102" t="str">
        <f>IFERROR(__xludf.DUMMYFUNCTION("""COMPUTED_VALUE"""),"CEMEI PROFESSORA LINDOMAR DOMINGOS DA SILVA ANJOS")</f>
        <v>CEMEI PROFESSORA LINDOMAR DOMINGOS DA SILVA ANJOS</v>
      </c>
      <c r="D95" s="95" t="str">
        <f>IFERROR(__xludf.DUMMYFUNCTION("""COMPUTED_VALUE"""),"INFANTIL 1")</f>
        <v>INFANTIL 1</v>
      </c>
      <c r="E95" s="95" t="str">
        <f>IFERROR(__xludf.DUMMYFUNCTION("""COMPUTED_VALUE"""),"Integral")</f>
        <v>Integral</v>
      </c>
      <c r="F95" s="95" t="str">
        <f>IFERROR(__xludf.DUMMYFUNCTION("""COMPUTED_VALUE"""),"Comum")</f>
        <v>Comum</v>
      </c>
      <c r="G95" s="95" t="str">
        <f>IFERROR(__xludf.DUMMYFUNCTION("""COMPUTED_VALUE"""),"24")</f>
        <v>24</v>
      </c>
      <c r="H95" s="95" t="str">
        <f>IFERROR(__xludf.DUMMYFUNCTION("""COMPUTED_VALUE"""),"26052501651")</f>
        <v>26052501651</v>
      </c>
      <c r="I95" s="103" t="str">
        <f>IFERROR(__xludf.DUMMYFUNCTION("""COMPUTED_VALUE"""),"15/05/2026 11:54:29")</f>
        <v>15/05/2026 11:54:29</v>
      </c>
      <c r="J95" s="95" t="str">
        <f>IFERROR(__xludf.DUMMYFUNCTION("""COMPUTED_VALUE"""),"ARTHUR MIGUEL SOUZA DA SILVA")</f>
        <v>ARTHUR MIGUEL SOUZA DA SILVA</v>
      </c>
      <c r="K95" s="95" t="str">
        <f>IFERROR(__xludf.DUMMYFUNCTION("""COMPUTED_VALUE"""),"004.089.984-58")</f>
        <v>004.089.984-58</v>
      </c>
      <c r="L95" s="104" t="str">
        <f>IFERROR(__xludf.DUMMYFUNCTION("""COMPUTED_VALUE"""),"10/09/2024")</f>
        <v>10/09/2024</v>
      </c>
      <c r="M95" s="104"/>
      <c r="N95" s="95" t="str">
        <f>IFERROR(__xludf.DUMMYFUNCTION("""COMPUTED_VALUE"""),"0")</f>
        <v>0</v>
      </c>
      <c r="O95" s="95"/>
      <c r="P95" s="95"/>
      <c r="Q95" s="95"/>
      <c r="R95" s="95"/>
      <c r="S95" s="95"/>
      <c r="T95" s="95"/>
      <c r="U95" s="95"/>
      <c r="V95" s="95"/>
      <c r="W95" s="95"/>
      <c r="X95" s="95"/>
      <c r="Y95" s="95"/>
      <c r="Z95" s="95"/>
      <c r="AA95" s="95"/>
      <c r="AB95" s="95"/>
      <c r="AC95" s="95"/>
    </row>
    <row r="96" ht="15.75" customHeight="1" spans="1:29">
      <c r="A96" s="95"/>
      <c r="B96" s="95" t="str">
        <f>VLOOKUP(C96,lista_id!$D$2:$F$152,3,0)</f>
        <v>REGIONAL 5</v>
      </c>
      <c r="C96" s="102" t="str">
        <f>IFERROR(__xludf.DUMMYFUNCTION("""COMPUTED_VALUE"""),"CEMEI PROFESSORA LINDOMAR DOMINGOS DA SILVA ANJOS")</f>
        <v>CEMEI PROFESSORA LINDOMAR DOMINGOS DA SILVA ANJOS</v>
      </c>
      <c r="D96" s="95" t="str">
        <f>IFERROR(__xludf.DUMMYFUNCTION("""COMPUTED_VALUE"""),"INFANTIL 1")</f>
        <v>INFANTIL 1</v>
      </c>
      <c r="E96" s="95" t="str">
        <f>IFERROR(__xludf.DUMMYFUNCTION("""COMPUTED_VALUE"""),"Integral")</f>
        <v>Integral</v>
      </c>
      <c r="F96" s="95" t="str">
        <f>IFERROR(__xludf.DUMMYFUNCTION("""COMPUTED_VALUE"""),"Comum")</f>
        <v>Comum</v>
      </c>
      <c r="G96" s="95" t="str">
        <f>IFERROR(__xludf.DUMMYFUNCTION("""COMPUTED_VALUE"""),"25")</f>
        <v>25</v>
      </c>
      <c r="H96" s="95" t="str">
        <f>IFERROR(__xludf.DUMMYFUNCTION("""COMPUTED_VALUE"""),"26052658949")</f>
        <v>26052658949</v>
      </c>
      <c r="I96" s="103" t="str">
        <f>IFERROR(__xludf.DUMMYFUNCTION("""COMPUTED_VALUE"""),"15/05/2026 12:03:27")</f>
        <v>15/05/2026 12:03:27</v>
      </c>
      <c r="J96" s="95" t="str">
        <f>IFERROR(__xludf.DUMMYFUNCTION("""COMPUTED_VALUE"""),"AYLLA KAROLINE SOUZA DA SILVA")</f>
        <v>AYLLA KAROLINE SOUZA DA SILVA</v>
      </c>
      <c r="K96" s="95" t="str">
        <f>IFERROR(__xludf.DUMMYFUNCTION("""COMPUTED_VALUE"""),"004.089.794-02")</f>
        <v>004.089.794-02</v>
      </c>
      <c r="L96" s="104" t="str">
        <f>IFERROR(__xludf.DUMMYFUNCTION("""COMPUTED_VALUE"""),"10/09/2024")</f>
        <v>10/09/2024</v>
      </c>
      <c r="M96" s="104"/>
      <c r="N96" s="95" t="str">
        <f>IFERROR(__xludf.DUMMYFUNCTION("""COMPUTED_VALUE"""),"0")</f>
        <v>0</v>
      </c>
      <c r="O96" s="95"/>
      <c r="P96" s="95"/>
      <c r="Q96" s="95"/>
      <c r="R96" s="95"/>
      <c r="S96" s="95"/>
      <c r="T96" s="95"/>
      <c r="U96" s="95"/>
      <c r="V96" s="95"/>
      <c r="W96" s="95"/>
      <c r="X96" s="95"/>
      <c r="Y96" s="95"/>
      <c r="Z96" s="95"/>
      <c r="AA96" s="95"/>
      <c r="AB96" s="95"/>
      <c r="AC96" s="95"/>
    </row>
    <row r="97" ht="15.75" customHeight="1" spans="1:29">
      <c r="A97" s="95"/>
      <c r="B97" s="95" t="str">
        <f>VLOOKUP(C97,lista_id!$D$2:$F$152,3,0)</f>
        <v>REGIONAL 5</v>
      </c>
      <c r="C97" s="102" t="str">
        <f>IFERROR(__xludf.DUMMYFUNCTION("""COMPUTED_VALUE"""),"CEMEI PROFESSORA LINDOMAR DOMINGOS DA SILVA ANJOS")</f>
        <v>CEMEI PROFESSORA LINDOMAR DOMINGOS DA SILVA ANJOS</v>
      </c>
      <c r="D97" s="95" t="str">
        <f>IFERROR(__xludf.DUMMYFUNCTION("""COMPUTED_VALUE"""),"INFANTIL 1")</f>
        <v>INFANTIL 1</v>
      </c>
      <c r="E97" s="95" t="str">
        <f>IFERROR(__xludf.DUMMYFUNCTION("""COMPUTED_VALUE"""),"Integral")</f>
        <v>Integral</v>
      </c>
      <c r="F97" s="95" t="str">
        <f>IFERROR(__xludf.DUMMYFUNCTION("""COMPUTED_VALUE"""),"Comum")</f>
        <v>Comum</v>
      </c>
      <c r="G97" s="95" t="str">
        <f>IFERROR(__xludf.DUMMYFUNCTION("""COMPUTED_VALUE"""),"26")</f>
        <v>26</v>
      </c>
      <c r="H97" s="95" t="str">
        <f>IFERROR(__xludf.DUMMYFUNCTION("""COMPUTED_VALUE"""),"26052476145")</f>
        <v>26052476145</v>
      </c>
      <c r="I97" s="103" t="str">
        <f>IFERROR(__xludf.DUMMYFUNCTION("""COMPUTED_VALUE"""),"30/05/2026 11:24:31")</f>
        <v>30/05/2026 11:24:31</v>
      </c>
      <c r="J97" s="95" t="str">
        <f>IFERROR(__xludf.DUMMYFUNCTION("""COMPUTED_VALUE"""),"Natanael Ryan Felix de Santana")</f>
        <v>Natanael Ryan Felix de Santana</v>
      </c>
      <c r="K97" s="95" t="str">
        <f>IFERROR(__xludf.DUMMYFUNCTION("""COMPUTED_VALUE"""),"004.409.374-85")</f>
        <v>004.409.374-85</v>
      </c>
      <c r="L97" s="106" t="str">
        <f>IFERROR(__xludf.DUMMYFUNCTION("""COMPUTED_VALUE"""),"10/10/2024")</f>
        <v>10/10/2024</v>
      </c>
      <c r="M97" s="104"/>
      <c r="N97" s="95" t="str">
        <f>IFERROR(__xludf.DUMMYFUNCTION("""COMPUTED_VALUE"""),"0")</f>
        <v>0</v>
      </c>
      <c r="O97" s="95"/>
      <c r="P97" s="95"/>
      <c r="Q97" s="95"/>
      <c r="R97" s="95"/>
      <c r="S97" s="95"/>
      <c r="T97" s="95"/>
      <c r="U97" s="95"/>
      <c r="V97" s="95"/>
      <c r="W97" s="95"/>
      <c r="X97" s="95"/>
      <c r="Y97" s="95"/>
      <c r="Z97" s="95"/>
      <c r="AA97" s="95"/>
      <c r="AB97" s="95"/>
      <c r="AC97" s="95"/>
    </row>
    <row r="98" ht="15.75" customHeight="1" spans="1:29">
      <c r="A98" s="95"/>
      <c r="B98" s="95" t="str">
        <f>VLOOKUP(C98,lista_id!$D$2:$F$152,3,0)</f>
        <v>REGIONAL 5</v>
      </c>
      <c r="C98" s="102" t="str">
        <f>IFERROR(__xludf.DUMMYFUNCTION("""COMPUTED_VALUE"""),"CEMEI PROFESSORA LINDOMAR DOMINGOS DA SILVA ANJOS")</f>
        <v>CEMEI PROFESSORA LINDOMAR DOMINGOS DA SILVA ANJOS</v>
      </c>
      <c r="D98" s="95" t="str">
        <f>IFERROR(__xludf.DUMMYFUNCTION("""COMPUTED_VALUE"""),"INFANTIL 2")</f>
        <v>INFANTIL 2</v>
      </c>
      <c r="E98" s="95" t="str">
        <f>IFERROR(__xludf.DUMMYFUNCTION("""COMPUTED_VALUE"""),"Integral")</f>
        <v>Integral</v>
      </c>
      <c r="F98" s="95" t="str">
        <f>IFERROR(__xludf.DUMMYFUNCTION("""COMPUTED_VALUE"""),"Comum")</f>
        <v>Comum</v>
      </c>
      <c r="G98" s="95" t="str">
        <f>IFERROR(__xludf.DUMMYFUNCTION("""COMPUTED_VALUE"""),"1")</f>
        <v>1</v>
      </c>
      <c r="H98" s="95" t="str">
        <f>IFERROR(__xludf.DUMMYFUNCTION("""COMPUTED_VALUE"""),"26012113244")</f>
        <v>26012113244</v>
      </c>
      <c r="I98" s="103" t="str">
        <f>IFERROR(__xludf.DUMMYFUNCTION("""COMPUTED_VALUE"""),"28/01/2026 08:06:54")</f>
        <v>28/01/2026 08:06:54</v>
      </c>
      <c r="J98" s="95" t="str">
        <f>IFERROR(__xludf.DUMMYFUNCTION("""COMPUTED_VALUE"""),"ALYCIA MARIA FERREIRA LOPES")</f>
        <v>ALYCIA MARIA FERREIRA LOPES</v>
      </c>
      <c r="K98" s="95" t="str">
        <f>IFERROR(__xludf.DUMMYFUNCTION("""COMPUTED_VALUE"""),"185.002.054-07")</f>
        <v>185.002.054-07</v>
      </c>
      <c r="L98" s="104" t="str">
        <f>IFERROR(__xludf.DUMMYFUNCTION("""COMPUTED_VALUE"""),"06/04/2023")</f>
        <v>06/04/2023</v>
      </c>
      <c r="M98" s="104"/>
      <c r="N98" s="95" t="str">
        <f>IFERROR(__xludf.DUMMYFUNCTION("""COMPUTED_VALUE"""),"0")</f>
        <v>0</v>
      </c>
      <c r="O98" s="95"/>
      <c r="P98" s="95"/>
      <c r="Q98" s="95"/>
      <c r="R98" s="95"/>
      <c r="S98" s="95"/>
      <c r="T98" s="95"/>
      <c r="U98" s="95"/>
      <c r="V98" s="95"/>
      <c r="W98" s="95"/>
      <c r="X98" s="95"/>
      <c r="Y98" s="95"/>
      <c r="Z98" s="95"/>
      <c r="AA98" s="95"/>
      <c r="AB98" s="95"/>
      <c r="AC98" s="95"/>
    </row>
    <row r="99" ht="15.75" customHeight="1" spans="1:29">
      <c r="A99" s="95"/>
      <c r="B99" s="95" t="str">
        <f>VLOOKUP(C99,lista_id!$D$2:$F$152,3,0)</f>
        <v>REGIONAL 5</v>
      </c>
      <c r="C99" s="102" t="str">
        <f>IFERROR(__xludf.DUMMYFUNCTION("""COMPUTED_VALUE"""),"CEMEI PROFESSORA LINDOMAR DOMINGOS DA SILVA ANJOS")</f>
        <v>CEMEI PROFESSORA LINDOMAR DOMINGOS DA SILVA ANJOS</v>
      </c>
      <c r="D99" s="95" t="str">
        <f>IFERROR(__xludf.DUMMYFUNCTION("""COMPUTED_VALUE"""),"INFANTIL 2")</f>
        <v>INFANTIL 2</v>
      </c>
      <c r="E99" s="95" t="str">
        <f>IFERROR(__xludf.DUMMYFUNCTION("""COMPUTED_VALUE"""),"Integral")</f>
        <v>Integral</v>
      </c>
      <c r="F99" s="95" t="str">
        <f>IFERROR(__xludf.DUMMYFUNCTION("""COMPUTED_VALUE"""),"Comum")</f>
        <v>Comum</v>
      </c>
      <c r="G99" s="95" t="str">
        <f>IFERROR(__xludf.DUMMYFUNCTION("""COMPUTED_VALUE"""),"2")</f>
        <v>2</v>
      </c>
      <c r="H99" s="95" t="str">
        <f>IFERROR(__xludf.DUMMYFUNCTION("""COMPUTED_VALUE"""),"26012668599")</f>
        <v>26012668599</v>
      </c>
      <c r="I99" s="103" t="str">
        <f>IFERROR(__xludf.DUMMYFUNCTION("""COMPUTED_VALUE"""),"28/01/2026 08:08:24")</f>
        <v>28/01/2026 08:08:24</v>
      </c>
      <c r="J99" s="95" t="str">
        <f>IFERROR(__xludf.DUMMYFUNCTION("""COMPUTED_VALUE"""),"MIKAEL OLIVEIRA FERREIRA CAVALCANTE")</f>
        <v>MIKAEL OLIVEIRA FERREIRA CAVALCANTE</v>
      </c>
      <c r="K99" s="95" t="str">
        <f>IFERROR(__xludf.DUMMYFUNCTION("""COMPUTED_VALUE"""),"186.109.834-04")</f>
        <v>186.109.834-04</v>
      </c>
      <c r="L99" s="104" t="str">
        <f>IFERROR(__xludf.DUMMYFUNCTION("""COMPUTED_VALUE"""),"23/07/2023")</f>
        <v>23/07/2023</v>
      </c>
      <c r="M99" s="106"/>
      <c r="N99" s="95" t="str">
        <f>IFERROR(__xludf.DUMMYFUNCTION("""COMPUTED_VALUE"""),"0")</f>
        <v>0</v>
      </c>
      <c r="O99" s="95"/>
      <c r="P99" s="95"/>
      <c r="Q99" s="95"/>
      <c r="R99" s="95"/>
      <c r="S99" s="95"/>
      <c r="T99" s="95"/>
      <c r="U99" s="95"/>
      <c r="V99" s="95"/>
      <c r="W99" s="95"/>
      <c r="X99" s="95"/>
      <c r="Y99" s="95"/>
      <c r="Z99" s="95"/>
      <c r="AA99" s="95"/>
      <c r="AB99" s="95"/>
      <c r="AC99" s="95"/>
    </row>
    <row r="100" ht="15.75" customHeight="1" spans="1:29">
      <c r="A100" s="95"/>
      <c r="B100" s="95" t="str">
        <f>VLOOKUP(C100,lista_id!$D$2:$F$152,3,0)</f>
        <v>REGIONAL 5</v>
      </c>
      <c r="C100" s="102" t="str">
        <f>IFERROR(__xludf.DUMMYFUNCTION("""COMPUTED_VALUE"""),"CEMEI PROFESSORA LINDOMAR DOMINGOS DA SILVA ANJOS")</f>
        <v>CEMEI PROFESSORA LINDOMAR DOMINGOS DA SILVA ANJOS</v>
      </c>
      <c r="D100" s="95" t="str">
        <f>IFERROR(__xludf.DUMMYFUNCTION("""COMPUTED_VALUE"""),"INFANTIL 2")</f>
        <v>INFANTIL 2</v>
      </c>
      <c r="E100" s="95" t="str">
        <f>IFERROR(__xludf.DUMMYFUNCTION("""COMPUTED_VALUE"""),"Integral")</f>
        <v>Integral</v>
      </c>
      <c r="F100" s="95" t="str">
        <f>IFERROR(__xludf.DUMMYFUNCTION("""COMPUTED_VALUE"""),"Comum")</f>
        <v>Comum</v>
      </c>
      <c r="G100" s="95" t="str">
        <f>IFERROR(__xludf.DUMMYFUNCTION("""COMPUTED_VALUE"""),"3")</f>
        <v>3</v>
      </c>
      <c r="H100" s="95" t="str">
        <f>IFERROR(__xludf.DUMMYFUNCTION("""COMPUTED_VALUE"""),"26012794977")</f>
        <v>26012794977</v>
      </c>
      <c r="I100" s="105" t="str">
        <f>IFERROR(__xludf.DUMMYFUNCTION("""COMPUTED_VALUE"""),"28/01/2026 08:14:44")</f>
        <v>28/01/2026 08:14:44</v>
      </c>
      <c r="J100" s="95" t="str">
        <f>IFERROR(__xludf.DUMMYFUNCTION("""COMPUTED_VALUE"""),"SARAH BEATRIZ CORREIA RODRIGUES DA SILVA")</f>
        <v>SARAH BEATRIZ CORREIA RODRIGUES DA SILVA</v>
      </c>
      <c r="K100" s="95" t="str">
        <f>IFERROR(__xludf.DUMMYFUNCTION("""COMPUTED_VALUE"""),"185.680.884-06")</f>
        <v>185.680.884-06</v>
      </c>
      <c r="L100" s="104" t="str">
        <f>IFERROR(__xludf.DUMMYFUNCTION("""COMPUTED_VALUE"""),"07/06/2023")</f>
        <v>07/06/2023</v>
      </c>
      <c r="M100" s="104"/>
      <c r="N100" s="95" t="str">
        <f>IFERROR(__xludf.DUMMYFUNCTION("""COMPUTED_VALUE"""),"0")</f>
        <v>0</v>
      </c>
      <c r="O100" s="95"/>
      <c r="P100" s="95"/>
      <c r="Q100" s="95"/>
      <c r="R100" s="95"/>
      <c r="S100" s="95"/>
      <c r="T100" s="95"/>
      <c r="U100" s="95"/>
      <c r="V100" s="95"/>
      <c r="W100" s="95"/>
      <c r="X100" s="95"/>
      <c r="Y100" s="95"/>
      <c r="Z100" s="95"/>
      <c r="AA100" s="95"/>
      <c r="AB100" s="95"/>
      <c r="AC100" s="95"/>
    </row>
    <row r="101" ht="15.75" customHeight="1" spans="1:29">
      <c r="A101" s="95"/>
      <c r="B101" s="95" t="str">
        <f>VLOOKUP(C101,lista_id!$D$2:$F$152,3,0)</f>
        <v>REGIONAL 5</v>
      </c>
      <c r="C101" s="102" t="str">
        <f>IFERROR(__xludf.DUMMYFUNCTION("""COMPUTED_VALUE"""),"CEMEI PROFESSORA LINDOMAR DOMINGOS DA SILVA ANJOS")</f>
        <v>CEMEI PROFESSORA LINDOMAR DOMINGOS DA SILVA ANJOS</v>
      </c>
      <c r="D101" s="95" t="str">
        <f>IFERROR(__xludf.DUMMYFUNCTION("""COMPUTED_VALUE"""),"INFANTIL 2")</f>
        <v>INFANTIL 2</v>
      </c>
      <c r="E101" s="95" t="str">
        <f>IFERROR(__xludf.DUMMYFUNCTION("""COMPUTED_VALUE"""),"Integral")</f>
        <v>Integral</v>
      </c>
      <c r="F101" s="95" t="str">
        <f>IFERROR(__xludf.DUMMYFUNCTION("""COMPUTED_VALUE"""),"Comum")</f>
        <v>Comum</v>
      </c>
      <c r="G101" s="95" t="str">
        <f>IFERROR(__xludf.DUMMYFUNCTION("""COMPUTED_VALUE"""),"4")</f>
        <v>4</v>
      </c>
      <c r="H101" s="95" t="str">
        <f>IFERROR(__xludf.DUMMYFUNCTION("""COMPUTED_VALUE"""),"26012623194")</f>
        <v>26012623194</v>
      </c>
      <c r="I101" s="105" t="str">
        <f>IFERROR(__xludf.DUMMYFUNCTION("""COMPUTED_VALUE"""),"28/01/2026 08:17:19")</f>
        <v>28/01/2026 08:17:19</v>
      </c>
      <c r="J101" s="95" t="str">
        <f>IFERROR(__xludf.DUMMYFUNCTION("""COMPUTED_VALUE"""),"LAURA MARIAH TEIXEIRA SILVA")</f>
        <v>LAURA MARIAH TEIXEIRA SILVA</v>
      </c>
      <c r="K101" s="95" t="str">
        <f>IFERROR(__xludf.DUMMYFUNCTION("""COMPUTED_VALUE"""),"002.969.484-11")</f>
        <v>002.969.484-11</v>
      </c>
      <c r="L101" s="104" t="str">
        <f>IFERROR(__xludf.DUMMYFUNCTION("""COMPUTED_VALUE"""),"18/02/2024")</f>
        <v>18/02/2024</v>
      </c>
      <c r="M101" s="106"/>
      <c r="N101" s="95" t="str">
        <f>IFERROR(__xludf.DUMMYFUNCTION("""COMPUTED_VALUE"""),"0")</f>
        <v>0</v>
      </c>
      <c r="O101" s="95"/>
      <c r="P101" s="95"/>
      <c r="Q101" s="95"/>
      <c r="R101" s="95"/>
      <c r="S101" s="95"/>
      <c r="T101" s="95"/>
      <c r="U101" s="95"/>
      <c r="V101" s="95"/>
      <c r="W101" s="95"/>
      <c r="X101" s="95"/>
      <c r="Y101" s="95"/>
      <c r="Z101" s="95"/>
      <c r="AA101" s="95"/>
      <c r="AB101" s="95"/>
      <c r="AC101" s="95"/>
    </row>
    <row r="102" ht="15.75" customHeight="1" spans="1:29">
      <c r="A102" s="95"/>
      <c r="B102" s="95" t="str">
        <f>VLOOKUP(C102,lista_id!$D$2:$F$152,3,0)</f>
        <v>REGIONAL 5</v>
      </c>
      <c r="C102" s="102" t="str">
        <f>IFERROR(__xludf.DUMMYFUNCTION("""COMPUTED_VALUE"""),"CEMEI PROFESSORA LINDOMAR DOMINGOS DA SILVA ANJOS")</f>
        <v>CEMEI PROFESSORA LINDOMAR DOMINGOS DA SILVA ANJOS</v>
      </c>
      <c r="D102" s="95" t="str">
        <f>IFERROR(__xludf.DUMMYFUNCTION("""COMPUTED_VALUE"""),"INFANTIL 2")</f>
        <v>INFANTIL 2</v>
      </c>
      <c r="E102" s="95" t="str">
        <f>IFERROR(__xludf.DUMMYFUNCTION("""COMPUTED_VALUE"""),"Integral")</f>
        <v>Integral</v>
      </c>
      <c r="F102" s="95" t="str">
        <f>IFERROR(__xludf.DUMMYFUNCTION("""COMPUTED_VALUE"""),"Comum")</f>
        <v>Comum</v>
      </c>
      <c r="G102" s="95" t="str">
        <f>IFERROR(__xludf.DUMMYFUNCTION("""COMPUTED_VALUE"""),"5")</f>
        <v>5</v>
      </c>
      <c r="H102" s="95" t="str">
        <f>IFERROR(__xludf.DUMMYFUNCTION("""COMPUTED_VALUE"""),"26012261808")</f>
        <v>26012261808</v>
      </c>
      <c r="I102" s="105" t="str">
        <f>IFERROR(__xludf.DUMMYFUNCTION("""COMPUTED_VALUE"""),"28/01/2026 08:25:56")</f>
        <v>28/01/2026 08:25:56</v>
      </c>
      <c r="J102" s="95" t="str">
        <f>IFERROR(__xludf.DUMMYFUNCTION("""COMPUTED_VALUE"""),"MARIA GABRIELA DA SILVA PORFIRIO ALVES")</f>
        <v>MARIA GABRIELA DA SILVA PORFIRIO ALVES</v>
      </c>
      <c r="K102" s="95" t="str">
        <f>IFERROR(__xludf.DUMMYFUNCTION("""COMPUTED_VALUE"""),"185.992.474-33")</f>
        <v>185.992.474-33</v>
      </c>
      <c r="L102" s="104" t="str">
        <f>IFERROR(__xludf.DUMMYFUNCTION("""COMPUTED_VALUE"""),"15/05/2023")</f>
        <v>15/05/2023</v>
      </c>
      <c r="M102" s="104"/>
      <c r="N102" s="95" t="str">
        <f>IFERROR(__xludf.DUMMYFUNCTION("""COMPUTED_VALUE"""),"0")</f>
        <v>0</v>
      </c>
      <c r="O102" s="95"/>
      <c r="P102" s="95"/>
      <c r="Q102" s="95"/>
      <c r="R102" s="95"/>
      <c r="S102" s="95"/>
      <c r="T102" s="95"/>
      <c r="U102" s="95"/>
      <c r="V102" s="95"/>
      <c r="W102" s="95"/>
      <c r="X102" s="95"/>
      <c r="Y102" s="95"/>
      <c r="Z102" s="95"/>
      <c r="AA102" s="95"/>
      <c r="AB102" s="95"/>
      <c r="AC102" s="95"/>
    </row>
    <row r="103" ht="15.75" customHeight="1" spans="1:29">
      <c r="A103" s="95"/>
      <c r="B103" s="95" t="str">
        <f>VLOOKUP(C103,lista_id!$D$2:$F$152,3,0)</f>
        <v>REGIONAL 5</v>
      </c>
      <c r="C103" s="102" t="str">
        <f>IFERROR(__xludf.DUMMYFUNCTION("""COMPUTED_VALUE"""),"CEMEI PROFESSORA LINDOMAR DOMINGOS DA SILVA ANJOS")</f>
        <v>CEMEI PROFESSORA LINDOMAR DOMINGOS DA SILVA ANJOS</v>
      </c>
      <c r="D103" s="95" t="str">
        <f>IFERROR(__xludf.DUMMYFUNCTION("""COMPUTED_VALUE"""),"INFANTIL 2")</f>
        <v>INFANTIL 2</v>
      </c>
      <c r="E103" s="95" t="str">
        <f>IFERROR(__xludf.DUMMYFUNCTION("""COMPUTED_VALUE"""),"Integral")</f>
        <v>Integral</v>
      </c>
      <c r="F103" s="95" t="str">
        <f>IFERROR(__xludf.DUMMYFUNCTION("""COMPUTED_VALUE"""),"Comum")</f>
        <v>Comum</v>
      </c>
      <c r="G103" s="95" t="str">
        <f>IFERROR(__xludf.DUMMYFUNCTION("""COMPUTED_VALUE"""),"6")</f>
        <v>6</v>
      </c>
      <c r="H103" s="95" t="str">
        <f>IFERROR(__xludf.DUMMYFUNCTION("""COMPUTED_VALUE"""),"26012739667")</f>
        <v>26012739667</v>
      </c>
      <c r="I103" s="105" t="str">
        <f>IFERROR(__xludf.DUMMYFUNCTION("""COMPUTED_VALUE"""),"28/01/2026 08:25:59")</f>
        <v>28/01/2026 08:25:59</v>
      </c>
      <c r="J103" s="95" t="str">
        <f>IFERROR(__xludf.DUMMYFUNCTION("""COMPUTED_VALUE"""),"EMILLY BEATRIZ SANTOS")</f>
        <v>EMILLY BEATRIZ SANTOS</v>
      </c>
      <c r="K103" s="95" t="str">
        <f>IFERROR(__xludf.DUMMYFUNCTION("""COMPUTED_VALUE"""),"002.613.284-25")</f>
        <v>002.613.284-25</v>
      </c>
      <c r="L103" s="104" t="str">
        <f>IFERROR(__xludf.DUMMYFUNCTION("""COMPUTED_VALUE"""),"12/12/2023")</f>
        <v>12/12/2023</v>
      </c>
      <c r="M103" s="104"/>
      <c r="N103" s="95" t="str">
        <f>IFERROR(__xludf.DUMMYFUNCTION("""COMPUTED_VALUE"""),"0")</f>
        <v>0</v>
      </c>
      <c r="O103" s="95"/>
      <c r="P103" s="95"/>
      <c r="Q103" s="95"/>
      <c r="R103" s="95"/>
      <c r="S103" s="95"/>
      <c r="T103" s="95"/>
      <c r="U103" s="95"/>
      <c r="V103" s="95"/>
      <c r="W103" s="95"/>
      <c r="X103" s="95"/>
      <c r="Y103" s="95"/>
      <c r="Z103" s="95"/>
      <c r="AA103" s="95"/>
      <c r="AB103" s="95"/>
      <c r="AC103" s="95"/>
    </row>
    <row r="104" ht="15.75" customHeight="1" spans="1:29">
      <c r="A104" s="95"/>
      <c r="B104" s="95" t="str">
        <f>VLOOKUP(C104,lista_id!$D$2:$F$152,3,0)</f>
        <v>REGIONAL 5</v>
      </c>
      <c r="C104" s="102" t="str">
        <f>IFERROR(__xludf.DUMMYFUNCTION("""COMPUTED_VALUE"""),"CEMEI PROFESSORA LINDOMAR DOMINGOS DA SILVA ANJOS")</f>
        <v>CEMEI PROFESSORA LINDOMAR DOMINGOS DA SILVA ANJOS</v>
      </c>
      <c r="D104" s="95" t="str">
        <f>IFERROR(__xludf.DUMMYFUNCTION("""COMPUTED_VALUE"""),"INFANTIL 2")</f>
        <v>INFANTIL 2</v>
      </c>
      <c r="E104" s="95" t="str">
        <f>IFERROR(__xludf.DUMMYFUNCTION("""COMPUTED_VALUE"""),"Integral")</f>
        <v>Integral</v>
      </c>
      <c r="F104" s="95" t="str">
        <f>IFERROR(__xludf.DUMMYFUNCTION("""COMPUTED_VALUE"""),"Comum")</f>
        <v>Comum</v>
      </c>
      <c r="G104" s="95" t="str">
        <f>IFERROR(__xludf.DUMMYFUNCTION("""COMPUTED_VALUE"""),"7")</f>
        <v>7</v>
      </c>
      <c r="H104" s="95" t="str">
        <f>IFERROR(__xludf.DUMMYFUNCTION("""COMPUTED_VALUE"""),"26012222881")</f>
        <v>26012222881</v>
      </c>
      <c r="I104" s="105" t="str">
        <f>IFERROR(__xludf.DUMMYFUNCTION("""COMPUTED_VALUE"""),"28/01/2026 08:31:41")</f>
        <v>28/01/2026 08:31:41</v>
      </c>
      <c r="J104" s="95" t="str">
        <f>IFERROR(__xludf.DUMMYFUNCTION("""COMPUTED_VALUE"""),"LEVY MATHEUS SANTOS LINS")</f>
        <v>LEVY MATHEUS SANTOS LINS</v>
      </c>
      <c r="K104" s="95" t="str">
        <f>IFERROR(__xludf.DUMMYFUNCTION("""COMPUTED_VALUE"""),"001.763.444-03")</f>
        <v>001.763.444-03</v>
      </c>
      <c r="L104" s="104" t="str">
        <f>IFERROR(__xludf.DUMMYFUNCTION("""COMPUTED_VALUE"""),"25/01/2024")</f>
        <v>25/01/2024</v>
      </c>
      <c r="M104" s="104"/>
      <c r="N104" s="95" t="str">
        <f>IFERROR(__xludf.DUMMYFUNCTION("""COMPUTED_VALUE"""),"0")</f>
        <v>0</v>
      </c>
      <c r="O104" s="95"/>
      <c r="P104" s="95"/>
      <c r="Q104" s="95"/>
      <c r="R104" s="95"/>
      <c r="S104" s="95"/>
      <c r="T104" s="95"/>
      <c r="U104" s="95"/>
      <c r="V104" s="95"/>
      <c r="W104" s="95"/>
      <c r="X104" s="95"/>
      <c r="Y104" s="95"/>
      <c r="Z104" s="95"/>
      <c r="AA104" s="95"/>
      <c r="AB104" s="95"/>
      <c r="AC104" s="95"/>
    </row>
    <row r="105" ht="15.75" customHeight="1" spans="1:29">
      <c r="A105" s="95"/>
      <c r="B105" s="95" t="str">
        <f>VLOOKUP(C105,lista_id!$D$2:$F$152,3,0)</f>
        <v>REGIONAL 5</v>
      </c>
      <c r="C105" s="102" t="str">
        <f>IFERROR(__xludf.DUMMYFUNCTION("""COMPUTED_VALUE"""),"CEMEI PROFESSORA LINDOMAR DOMINGOS DA SILVA ANJOS")</f>
        <v>CEMEI PROFESSORA LINDOMAR DOMINGOS DA SILVA ANJOS</v>
      </c>
      <c r="D105" s="95" t="str">
        <f>IFERROR(__xludf.DUMMYFUNCTION("""COMPUTED_VALUE"""),"INFANTIL 2")</f>
        <v>INFANTIL 2</v>
      </c>
      <c r="E105" s="95" t="str">
        <f>IFERROR(__xludf.DUMMYFUNCTION("""COMPUTED_VALUE"""),"Integral")</f>
        <v>Integral</v>
      </c>
      <c r="F105" s="95" t="str">
        <f>IFERROR(__xludf.DUMMYFUNCTION("""COMPUTED_VALUE"""),"Comum")</f>
        <v>Comum</v>
      </c>
      <c r="G105" s="95" t="str">
        <f>IFERROR(__xludf.DUMMYFUNCTION("""COMPUTED_VALUE"""),"8")</f>
        <v>8</v>
      </c>
      <c r="H105" s="95" t="str">
        <f>IFERROR(__xludf.DUMMYFUNCTION("""COMPUTED_VALUE"""),"26012659283")</f>
        <v>26012659283</v>
      </c>
      <c r="I105" s="105" t="str">
        <f>IFERROR(__xludf.DUMMYFUNCTION("""COMPUTED_VALUE"""),"28/01/2026 09:00:15")</f>
        <v>28/01/2026 09:00:15</v>
      </c>
      <c r="J105" s="95" t="str">
        <f>IFERROR(__xludf.DUMMYFUNCTION("""COMPUTED_VALUE"""),"HELLOYSA MARIA CAVALCANTE DE LEMOS")</f>
        <v>HELLOYSA MARIA CAVALCANTE DE LEMOS</v>
      </c>
      <c r="K105" s="95" t="str">
        <f>IFERROR(__xludf.DUMMYFUNCTION("""COMPUTED_VALUE"""),"001.593.854-90")</f>
        <v>001.593.854-90</v>
      </c>
      <c r="L105" s="104" t="str">
        <f>IFERROR(__xludf.DUMMYFUNCTION("""COMPUTED_VALUE"""),"21/12/2023")</f>
        <v>21/12/2023</v>
      </c>
      <c r="M105" s="104"/>
      <c r="N105" s="95" t="str">
        <f>IFERROR(__xludf.DUMMYFUNCTION("""COMPUTED_VALUE"""),"0")</f>
        <v>0</v>
      </c>
      <c r="O105" s="95"/>
      <c r="P105" s="95"/>
      <c r="Q105" s="95"/>
      <c r="R105" s="95"/>
      <c r="S105" s="95"/>
      <c r="T105" s="95"/>
      <c r="U105" s="95"/>
      <c r="V105" s="95"/>
      <c r="W105" s="95"/>
      <c r="X105" s="95"/>
      <c r="Y105" s="95"/>
      <c r="Z105" s="95"/>
      <c r="AA105" s="95"/>
      <c r="AB105" s="95"/>
      <c r="AC105" s="95"/>
    </row>
    <row r="106" ht="15.75" customHeight="1" spans="1:29">
      <c r="A106" s="95"/>
      <c r="B106" s="95" t="str">
        <f>VLOOKUP(C106,lista_id!$D$2:$F$152,3,0)</f>
        <v>REGIONAL 5</v>
      </c>
      <c r="C106" s="102" t="str">
        <f>IFERROR(__xludf.DUMMYFUNCTION("""COMPUTED_VALUE"""),"CEMEI PROFESSORA LINDOMAR DOMINGOS DA SILVA ANJOS")</f>
        <v>CEMEI PROFESSORA LINDOMAR DOMINGOS DA SILVA ANJOS</v>
      </c>
      <c r="D106" s="95" t="str">
        <f>IFERROR(__xludf.DUMMYFUNCTION("""COMPUTED_VALUE"""),"INFANTIL 2")</f>
        <v>INFANTIL 2</v>
      </c>
      <c r="E106" s="95" t="str">
        <f>IFERROR(__xludf.DUMMYFUNCTION("""COMPUTED_VALUE"""),"Integral")</f>
        <v>Integral</v>
      </c>
      <c r="F106" s="95" t="str">
        <f>IFERROR(__xludf.DUMMYFUNCTION("""COMPUTED_VALUE"""),"Comum")</f>
        <v>Comum</v>
      </c>
      <c r="G106" s="95" t="str">
        <f>IFERROR(__xludf.DUMMYFUNCTION("""COMPUTED_VALUE"""),"9")</f>
        <v>9</v>
      </c>
      <c r="H106" s="95" t="str">
        <f>IFERROR(__xludf.DUMMYFUNCTION("""COMPUTED_VALUE"""),"26012696665")</f>
        <v>26012696665</v>
      </c>
      <c r="I106" s="105" t="str">
        <f>IFERROR(__xludf.DUMMYFUNCTION("""COMPUTED_VALUE"""),"28/01/2026 09:08:41")</f>
        <v>28/01/2026 09:08:41</v>
      </c>
      <c r="J106" s="95" t="str">
        <f>IFERROR(__xludf.DUMMYFUNCTION("""COMPUTED_VALUE"""),"THÉO VINÍCIUS DA SILVA FERNANDES")</f>
        <v>THÉO VINÍCIUS DA SILVA FERNANDES</v>
      </c>
      <c r="K106" s="95" t="str">
        <f>IFERROR(__xludf.DUMMYFUNCTION("""COMPUTED_VALUE"""),"186.161.124-21")</f>
        <v>186.161.124-21</v>
      </c>
      <c r="L106" s="104" t="str">
        <f>IFERROR(__xludf.DUMMYFUNCTION("""COMPUTED_VALUE"""),"04/08/2023")</f>
        <v>04/08/2023</v>
      </c>
      <c r="M106" s="106"/>
      <c r="N106" s="95" t="str">
        <f>IFERROR(__xludf.DUMMYFUNCTION("""COMPUTED_VALUE"""),"0")</f>
        <v>0</v>
      </c>
      <c r="O106" s="95"/>
      <c r="P106" s="95"/>
      <c r="Q106" s="95"/>
      <c r="R106" s="95"/>
      <c r="S106" s="95"/>
      <c r="T106" s="95"/>
      <c r="U106" s="95"/>
      <c r="V106" s="95"/>
      <c r="W106" s="95"/>
      <c r="X106" s="95"/>
      <c r="Y106" s="95"/>
      <c r="Z106" s="95"/>
      <c r="AA106" s="95"/>
      <c r="AB106" s="95"/>
      <c r="AC106" s="95"/>
    </row>
    <row r="107" ht="15.75" customHeight="1" spans="1:29">
      <c r="A107" s="95"/>
      <c r="B107" s="95" t="str">
        <f>VLOOKUP(C107,lista_id!$D$2:$F$152,3,0)</f>
        <v>REGIONAL 5</v>
      </c>
      <c r="C107" s="102" t="str">
        <f>IFERROR(__xludf.DUMMYFUNCTION("""COMPUTED_VALUE"""),"CEMEI PROFESSORA LINDOMAR DOMINGOS DA SILVA ANJOS")</f>
        <v>CEMEI PROFESSORA LINDOMAR DOMINGOS DA SILVA ANJOS</v>
      </c>
      <c r="D107" s="95" t="str">
        <f>IFERROR(__xludf.DUMMYFUNCTION("""COMPUTED_VALUE"""),"INFANTIL 2")</f>
        <v>INFANTIL 2</v>
      </c>
      <c r="E107" s="95" t="str">
        <f>IFERROR(__xludf.DUMMYFUNCTION("""COMPUTED_VALUE"""),"Integral")</f>
        <v>Integral</v>
      </c>
      <c r="F107" s="95" t="str">
        <f>IFERROR(__xludf.DUMMYFUNCTION("""COMPUTED_VALUE"""),"Comum")</f>
        <v>Comum</v>
      </c>
      <c r="G107" s="95" t="str">
        <f>IFERROR(__xludf.DUMMYFUNCTION("""COMPUTED_VALUE"""),"10")</f>
        <v>10</v>
      </c>
      <c r="H107" s="95" t="str">
        <f>IFERROR(__xludf.DUMMYFUNCTION("""COMPUTED_VALUE"""),"26012984567")</f>
        <v>26012984567</v>
      </c>
      <c r="I107" s="105" t="str">
        <f>IFERROR(__xludf.DUMMYFUNCTION("""COMPUTED_VALUE"""),"28/01/2026 09:29:37")</f>
        <v>28/01/2026 09:29:37</v>
      </c>
      <c r="J107" s="95" t="str">
        <f>IFERROR(__xludf.DUMMYFUNCTION("""COMPUTED_VALUE"""),"MAITÊ FERNANDA DA SILVA")</f>
        <v>MAITÊ FERNANDA DA SILVA</v>
      </c>
      <c r="K107" s="95" t="str">
        <f>IFERROR(__xludf.DUMMYFUNCTION("""COMPUTED_VALUE"""),"001.588.084-28")</f>
        <v>001.588.084-28</v>
      </c>
      <c r="L107" s="104" t="str">
        <f>IFERROR(__xludf.DUMMYFUNCTION("""COMPUTED_VALUE"""),"30/12/2023")</f>
        <v>30/12/2023</v>
      </c>
      <c r="M107" s="104"/>
      <c r="N107" s="95" t="str">
        <f>IFERROR(__xludf.DUMMYFUNCTION("""COMPUTED_VALUE"""),"0")</f>
        <v>0</v>
      </c>
      <c r="O107" s="95"/>
      <c r="P107" s="95"/>
      <c r="Q107" s="95"/>
      <c r="R107" s="95"/>
      <c r="S107" s="95"/>
      <c r="T107" s="95"/>
      <c r="U107" s="95"/>
      <c r="V107" s="95"/>
      <c r="W107" s="95"/>
      <c r="X107" s="95"/>
      <c r="Y107" s="95"/>
      <c r="Z107" s="95"/>
      <c r="AA107" s="95"/>
      <c r="AB107" s="95"/>
      <c r="AC107" s="95"/>
    </row>
    <row r="108" ht="15.75" customHeight="1" spans="1:29">
      <c r="A108" s="95"/>
      <c r="B108" s="95" t="str">
        <f>VLOOKUP(C108,lista_id!$D$2:$F$152,3,0)</f>
        <v>REGIONAL 5</v>
      </c>
      <c r="C108" s="102" t="str">
        <f>IFERROR(__xludf.DUMMYFUNCTION("""COMPUTED_VALUE"""),"CEMEI PROFESSORA LINDOMAR DOMINGOS DA SILVA ANJOS")</f>
        <v>CEMEI PROFESSORA LINDOMAR DOMINGOS DA SILVA ANJOS</v>
      </c>
      <c r="D108" s="95" t="str">
        <f>IFERROR(__xludf.DUMMYFUNCTION("""COMPUTED_VALUE"""),"INFANTIL 2")</f>
        <v>INFANTIL 2</v>
      </c>
      <c r="E108" s="95" t="str">
        <f>IFERROR(__xludf.DUMMYFUNCTION("""COMPUTED_VALUE"""),"Integral")</f>
        <v>Integral</v>
      </c>
      <c r="F108" s="95" t="str">
        <f>IFERROR(__xludf.DUMMYFUNCTION("""COMPUTED_VALUE"""),"Comum")</f>
        <v>Comum</v>
      </c>
      <c r="G108" s="95" t="str">
        <f>IFERROR(__xludf.DUMMYFUNCTION("""COMPUTED_VALUE"""),"11")</f>
        <v>11</v>
      </c>
      <c r="H108" s="95" t="str">
        <f>IFERROR(__xludf.DUMMYFUNCTION("""COMPUTED_VALUE"""),"26012623723")</f>
        <v>26012623723</v>
      </c>
      <c r="I108" s="105" t="str">
        <f>IFERROR(__xludf.DUMMYFUNCTION("""COMPUTED_VALUE"""),"28/01/2026 10:56:41")</f>
        <v>28/01/2026 10:56:41</v>
      </c>
      <c r="J108" s="95" t="str">
        <f>IFERROR(__xludf.DUMMYFUNCTION("""COMPUTED_VALUE"""),"YSIS SILVA RAMOS")</f>
        <v>YSIS SILVA RAMOS</v>
      </c>
      <c r="K108" s="95" t="str">
        <f>IFERROR(__xludf.DUMMYFUNCTION("""COMPUTED_VALUE"""),"000.422.384-55")</f>
        <v>000.422.384-55</v>
      </c>
      <c r="L108" s="104" t="str">
        <f>IFERROR(__xludf.DUMMYFUNCTION("""COMPUTED_VALUE"""),"11/10/2023")</f>
        <v>11/10/2023</v>
      </c>
      <c r="M108" s="104"/>
      <c r="N108" s="95" t="str">
        <f>IFERROR(__xludf.DUMMYFUNCTION("""COMPUTED_VALUE"""),"0")</f>
        <v>0</v>
      </c>
      <c r="O108" s="95"/>
      <c r="P108" s="95"/>
      <c r="Q108" s="95"/>
      <c r="R108" s="95"/>
      <c r="S108" s="95"/>
      <c r="T108" s="95"/>
      <c r="U108" s="95"/>
      <c r="V108" s="95"/>
      <c r="W108" s="95"/>
      <c r="X108" s="95"/>
      <c r="Y108" s="95"/>
      <c r="Z108" s="95"/>
      <c r="AA108" s="95"/>
      <c r="AB108" s="95"/>
      <c r="AC108" s="95"/>
    </row>
    <row r="109" ht="15.75" customHeight="1" spans="1:29">
      <c r="A109" s="95"/>
      <c r="B109" s="95" t="str">
        <f>VLOOKUP(C109,lista_id!$D$2:$F$152,3,0)</f>
        <v>REGIONAL 5</v>
      </c>
      <c r="C109" s="102" t="str">
        <f>IFERROR(__xludf.DUMMYFUNCTION("""COMPUTED_VALUE"""),"CEMEI PROFESSORA LINDOMAR DOMINGOS DA SILVA ANJOS")</f>
        <v>CEMEI PROFESSORA LINDOMAR DOMINGOS DA SILVA ANJOS</v>
      </c>
      <c r="D109" s="95" t="str">
        <f>IFERROR(__xludf.DUMMYFUNCTION("""COMPUTED_VALUE"""),"INFANTIL 2")</f>
        <v>INFANTIL 2</v>
      </c>
      <c r="E109" s="95" t="str">
        <f>IFERROR(__xludf.DUMMYFUNCTION("""COMPUTED_VALUE"""),"Integral")</f>
        <v>Integral</v>
      </c>
      <c r="F109" s="95" t="str">
        <f>IFERROR(__xludf.DUMMYFUNCTION("""COMPUTED_VALUE"""),"Comum")</f>
        <v>Comum</v>
      </c>
      <c r="G109" s="95" t="str">
        <f>IFERROR(__xludf.DUMMYFUNCTION("""COMPUTED_VALUE"""),"12")</f>
        <v>12</v>
      </c>
      <c r="H109" s="95" t="str">
        <f>IFERROR(__xludf.DUMMYFUNCTION("""COMPUTED_VALUE"""),"26012574322")</f>
        <v>26012574322</v>
      </c>
      <c r="I109" s="105" t="str">
        <f>IFERROR(__xludf.DUMMYFUNCTION("""COMPUTED_VALUE"""),"28/01/2026 11:08:50")</f>
        <v>28/01/2026 11:08:50</v>
      </c>
      <c r="J109" s="95" t="str">
        <f>IFERROR(__xludf.DUMMYFUNCTION("""COMPUTED_VALUE"""),"AINOANA VITÓRIA")</f>
        <v>AINOANA VITÓRIA</v>
      </c>
      <c r="K109" s="95" t="str">
        <f>IFERROR(__xludf.DUMMYFUNCTION("""COMPUTED_VALUE"""),"157.026.924-62")</f>
        <v>157.026.924-62</v>
      </c>
      <c r="L109" s="104" t="str">
        <f>IFERROR(__xludf.DUMMYFUNCTION("""COMPUTED_VALUE"""),"28/07/2023")</f>
        <v>28/07/2023</v>
      </c>
      <c r="M109" s="104"/>
      <c r="N109" s="95" t="str">
        <f>IFERROR(__xludf.DUMMYFUNCTION("""COMPUTED_VALUE"""),"0")</f>
        <v>0</v>
      </c>
      <c r="O109" s="95"/>
      <c r="P109" s="95"/>
      <c r="Q109" s="95"/>
      <c r="R109" s="95"/>
      <c r="S109" s="95"/>
      <c r="T109" s="95"/>
      <c r="U109" s="95"/>
      <c r="V109" s="95"/>
      <c r="W109" s="95"/>
      <c r="X109" s="95"/>
      <c r="Y109" s="95"/>
      <c r="Z109" s="95"/>
      <c r="AA109" s="95"/>
      <c r="AB109" s="95"/>
      <c r="AC109" s="95"/>
    </row>
    <row r="110" ht="15.75" customHeight="1" spans="1:29">
      <c r="A110" s="95"/>
      <c r="B110" s="95" t="str">
        <f>VLOOKUP(C110,lista_id!$D$2:$F$152,3,0)</f>
        <v>REGIONAL 5</v>
      </c>
      <c r="C110" s="102" t="str">
        <f>IFERROR(__xludf.DUMMYFUNCTION("""COMPUTED_VALUE"""),"CEMEI PROFESSORA LINDOMAR DOMINGOS DA SILVA ANJOS")</f>
        <v>CEMEI PROFESSORA LINDOMAR DOMINGOS DA SILVA ANJOS</v>
      </c>
      <c r="D110" s="95" t="str">
        <f>IFERROR(__xludf.DUMMYFUNCTION("""COMPUTED_VALUE"""),"INFANTIL 2")</f>
        <v>INFANTIL 2</v>
      </c>
      <c r="E110" s="95" t="str">
        <f>IFERROR(__xludf.DUMMYFUNCTION("""COMPUTED_VALUE"""),"Integral")</f>
        <v>Integral</v>
      </c>
      <c r="F110" s="95" t="str">
        <f>IFERROR(__xludf.DUMMYFUNCTION("""COMPUTED_VALUE"""),"Comum")</f>
        <v>Comum</v>
      </c>
      <c r="G110" s="95" t="str">
        <f>IFERROR(__xludf.DUMMYFUNCTION("""COMPUTED_VALUE"""),"13")</f>
        <v>13</v>
      </c>
      <c r="H110" s="95" t="str">
        <f>IFERROR(__xludf.DUMMYFUNCTION("""COMPUTED_VALUE"""),"26012536461")</f>
        <v>26012536461</v>
      </c>
      <c r="I110" s="105" t="str">
        <f>IFERROR(__xludf.DUMMYFUNCTION("""COMPUTED_VALUE"""),"28/01/2026 12:27:56")</f>
        <v>28/01/2026 12:27:56</v>
      </c>
      <c r="J110" s="95" t="str">
        <f>IFERROR(__xludf.DUMMYFUNCTION("""COMPUTED_VALUE"""),"MANASSÉS MESSIAS DOS SANTOS COSTA")</f>
        <v>MANASSÉS MESSIAS DOS SANTOS COSTA</v>
      </c>
      <c r="K110" s="95" t="str">
        <f>IFERROR(__xludf.DUMMYFUNCTION("""COMPUTED_VALUE"""),"185.866.824-70")</f>
        <v>185.866.824-70</v>
      </c>
      <c r="L110" s="104" t="str">
        <f>IFERROR(__xludf.DUMMYFUNCTION("""COMPUTED_VALUE"""),"10/06/2023")</f>
        <v>10/06/2023</v>
      </c>
      <c r="M110" s="104"/>
      <c r="N110" s="95" t="str">
        <f>IFERROR(__xludf.DUMMYFUNCTION("""COMPUTED_VALUE"""),"0")</f>
        <v>0</v>
      </c>
      <c r="O110" s="95"/>
      <c r="P110" s="95"/>
      <c r="Q110" s="95"/>
      <c r="R110" s="95"/>
      <c r="S110" s="95"/>
      <c r="T110" s="95"/>
      <c r="U110" s="95"/>
      <c r="V110" s="95"/>
      <c r="W110" s="95"/>
      <c r="X110" s="95"/>
      <c r="Y110" s="95"/>
      <c r="Z110" s="95"/>
      <c r="AA110" s="95"/>
      <c r="AB110" s="95"/>
      <c r="AC110" s="95"/>
    </row>
    <row r="111" ht="15.75" customHeight="1" spans="1:29">
      <c r="A111" s="95"/>
      <c r="B111" s="95" t="str">
        <f>VLOOKUP(C111,lista_id!$D$2:$F$152,3,0)</f>
        <v>REGIONAL 5</v>
      </c>
      <c r="C111" s="102" t="str">
        <f>IFERROR(__xludf.DUMMYFUNCTION("""COMPUTED_VALUE"""),"CEMEI PROFESSORA LINDOMAR DOMINGOS DA SILVA ANJOS")</f>
        <v>CEMEI PROFESSORA LINDOMAR DOMINGOS DA SILVA ANJOS</v>
      </c>
      <c r="D111" s="95" t="str">
        <f>IFERROR(__xludf.DUMMYFUNCTION("""COMPUTED_VALUE"""),"INFANTIL 2")</f>
        <v>INFANTIL 2</v>
      </c>
      <c r="E111" s="95" t="str">
        <f>IFERROR(__xludf.DUMMYFUNCTION("""COMPUTED_VALUE"""),"Integral")</f>
        <v>Integral</v>
      </c>
      <c r="F111" s="95" t="str">
        <f>IFERROR(__xludf.DUMMYFUNCTION("""COMPUTED_VALUE"""),"Comum")</f>
        <v>Comum</v>
      </c>
      <c r="G111" s="95" t="str">
        <f>IFERROR(__xludf.DUMMYFUNCTION("""COMPUTED_VALUE"""),"14")</f>
        <v>14</v>
      </c>
      <c r="H111" s="95" t="str">
        <f>IFERROR(__xludf.DUMMYFUNCTION("""COMPUTED_VALUE"""),"26012862691")</f>
        <v>26012862691</v>
      </c>
      <c r="I111" s="105" t="str">
        <f>IFERROR(__xludf.DUMMYFUNCTION("""COMPUTED_VALUE"""),"29/01/2026 09:34:00")</f>
        <v>29/01/2026 09:34:00</v>
      </c>
      <c r="J111" s="95" t="str">
        <f>IFERROR(__xludf.DUMMYFUNCTION("""COMPUTED_VALUE"""),"LARA SOPHIA OLIVEIRA DE ALMEIDA")</f>
        <v>LARA SOPHIA OLIVEIRA DE ALMEIDA</v>
      </c>
      <c r="K111" s="95" t="str">
        <f>IFERROR(__xludf.DUMMYFUNCTION("""COMPUTED_VALUE"""),"002.991.064-11")</f>
        <v>002.991.064-11</v>
      </c>
      <c r="L111" s="104" t="str">
        <f>IFERROR(__xludf.DUMMYFUNCTION("""COMPUTED_VALUE"""),"13/12/2023")</f>
        <v>13/12/2023</v>
      </c>
      <c r="M111" s="106"/>
      <c r="N111" s="95" t="str">
        <f>IFERROR(__xludf.DUMMYFUNCTION("""COMPUTED_VALUE"""),"0")</f>
        <v>0</v>
      </c>
      <c r="O111" s="95"/>
      <c r="P111" s="95"/>
      <c r="Q111" s="95"/>
      <c r="R111" s="95"/>
      <c r="S111" s="95"/>
      <c r="T111" s="95"/>
      <c r="U111" s="95"/>
      <c r="V111" s="95"/>
      <c r="W111" s="95"/>
      <c r="X111" s="95"/>
      <c r="Y111" s="95"/>
      <c r="Z111" s="95"/>
      <c r="AA111" s="95"/>
      <c r="AB111" s="95"/>
      <c r="AC111" s="95"/>
    </row>
    <row r="112" ht="15.75" customHeight="1" spans="1:29">
      <c r="A112" s="95"/>
      <c r="B112" s="95" t="str">
        <f>VLOOKUP(C112,lista_id!$D$2:$F$152,3,0)</f>
        <v>REGIONAL 5</v>
      </c>
      <c r="C112" s="102" t="str">
        <f>IFERROR(__xludf.DUMMYFUNCTION("""COMPUTED_VALUE"""),"CEMEI PROFESSORA LINDOMAR DOMINGOS DA SILVA ANJOS")</f>
        <v>CEMEI PROFESSORA LINDOMAR DOMINGOS DA SILVA ANJOS</v>
      </c>
      <c r="D112" s="95" t="str">
        <f>IFERROR(__xludf.DUMMYFUNCTION("""COMPUTED_VALUE"""),"INFANTIL 2")</f>
        <v>INFANTIL 2</v>
      </c>
      <c r="E112" s="95" t="str">
        <f>IFERROR(__xludf.DUMMYFUNCTION("""COMPUTED_VALUE"""),"Integral")</f>
        <v>Integral</v>
      </c>
      <c r="F112" s="95" t="str">
        <f>IFERROR(__xludf.DUMMYFUNCTION("""COMPUTED_VALUE"""),"Comum")</f>
        <v>Comum</v>
      </c>
      <c r="G112" s="95" t="str">
        <f>IFERROR(__xludf.DUMMYFUNCTION("""COMPUTED_VALUE"""),"15")</f>
        <v>15</v>
      </c>
      <c r="H112" s="95" t="str">
        <f>IFERROR(__xludf.DUMMYFUNCTION("""COMPUTED_VALUE"""),"26012210494")</f>
        <v>26012210494</v>
      </c>
      <c r="I112" s="105" t="str">
        <f>IFERROR(__xludf.DUMMYFUNCTION("""COMPUTED_VALUE"""),"29/01/2026 19:07:33")</f>
        <v>29/01/2026 19:07:33</v>
      </c>
      <c r="J112" s="95" t="str">
        <f>IFERROR(__xludf.DUMMYFUNCTION("""COMPUTED_VALUE"""),"JOÃO PEDRO AIRES DE SOUZA")</f>
        <v>JOÃO PEDRO AIRES DE SOUZA</v>
      </c>
      <c r="K112" s="95" t="str">
        <f>IFERROR(__xludf.DUMMYFUNCTION("""COMPUTED_VALUE"""),"185.347.964-08")</f>
        <v>185.347.964-08</v>
      </c>
      <c r="L112" s="104" t="str">
        <f>IFERROR(__xludf.DUMMYFUNCTION("""COMPUTED_VALUE"""),"13/05/2023")</f>
        <v>13/05/2023</v>
      </c>
      <c r="M112" s="106"/>
      <c r="N112" s="95" t="str">
        <f>IFERROR(__xludf.DUMMYFUNCTION("""COMPUTED_VALUE"""),"0")</f>
        <v>0</v>
      </c>
      <c r="O112" s="95"/>
      <c r="P112" s="95"/>
      <c r="Q112" s="95"/>
      <c r="R112" s="95"/>
      <c r="S112" s="95"/>
      <c r="T112" s="95"/>
      <c r="U112" s="95"/>
      <c r="V112" s="95"/>
      <c r="W112" s="95"/>
      <c r="X112" s="95"/>
      <c r="Y112" s="95"/>
      <c r="Z112" s="95"/>
      <c r="AA112" s="95"/>
      <c r="AB112" s="95"/>
      <c r="AC112" s="95"/>
    </row>
    <row r="113" ht="15.75" customHeight="1" spans="1:29">
      <c r="A113" s="95"/>
      <c r="B113" s="95" t="str">
        <f>VLOOKUP(C113,lista_id!$D$2:$F$152,3,0)</f>
        <v>REGIONAL 5</v>
      </c>
      <c r="C113" s="102" t="str">
        <f>IFERROR(__xludf.DUMMYFUNCTION("""COMPUTED_VALUE"""),"CEMEI PROFESSORA LINDOMAR DOMINGOS DA SILVA ANJOS")</f>
        <v>CEMEI PROFESSORA LINDOMAR DOMINGOS DA SILVA ANJOS</v>
      </c>
      <c r="D113" s="95" t="str">
        <f>IFERROR(__xludf.DUMMYFUNCTION("""COMPUTED_VALUE"""),"INFANTIL 2")</f>
        <v>INFANTIL 2</v>
      </c>
      <c r="E113" s="95" t="str">
        <f>IFERROR(__xludf.DUMMYFUNCTION("""COMPUTED_VALUE"""),"Integral")</f>
        <v>Integral</v>
      </c>
      <c r="F113" s="95" t="str">
        <f>IFERROR(__xludf.DUMMYFUNCTION("""COMPUTED_VALUE"""),"Comum")</f>
        <v>Comum</v>
      </c>
      <c r="G113" s="95" t="str">
        <f>IFERROR(__xludf.DUMMYFUNCTION("""COMPUTED_VALUE"""),"16")</f>
        <v>16</v>
      </c>
      <c r="H113" s="95" t="str">
        <f>IFERROR(__xludf.DUMMYFUNCTION("""COMPUTED_VALUE"""),"26022181466")</f>
        <v>26022181466</v>
      </c>
      <c r="I113" s="105" t="str">
        <f>IFERROR(__xludf.DUMMYFUNCTION("""COMPUTED_VALUE"""),"03/02/2026 12:10:55")</f>
        <v>03/02/2026 12:10:55</v>
      </c>
      <c r="J113" s="95" t="str">
        <f>IFERROR(__xludf.DUMMYFUNCTION("""COMPUTED_VALUE"""),"ELIAS BENJAMIN MIGUEL FERREIRA NACIMENTO")</f>
        <v>ELIAS BENJAMIN MIGUEL FERREIRA NACIMENTO</v>
      </c>
      <c r="K113" s="95" t="str">
        <f>IFERROR(__xludf.DUMMYFUNCTION("""COMPUTED_VALUE"""),"001.108.114-70")</f>
        <v>001.108.114-70</v>
      </c>
      <c r="L113" s="104" t="str">
        <f>IFERROR(__xludf.DUMMYFUNCTION("""COMPUTED_VALUE"""),"11/11/2023")</f>
        <v>11/11/2023</v>
      </c>
      <c r="M113" s="104"/>
      <c r="N113" s="95" t="str">
        <f>IFERROR(__xludf.DUMMYFUNCTION("""COMPUTED_VALUE"""),"0")</f>
        <v>0</v>
      </c>
      <c r="O113" s="95"/>
      <c r="P113" s="95"/>
      <c r="Q113" s="95"/>
      <c r="R113" s="95"/>
      <c r="S113" s="95"/>
      <c r="T113" s="95"/>
      <c r="U113" s="95"/>
      <c r="V113" s="95"/>
      <c r="W113" s="95"/>
      <c r="X113" s="95"/>
      <c r="Y113" s="95"/>
      <c r="Z113" s="95"/>
      <c r="AA113" s="95"/>
      <c r="AB113" s="95"/>
      <c r="AC113" s="95"/>
    </row>
    <row r="114" ht="15.75" customHeight="1" spans="1:29">
      <c r="A114" s="95"/>
      <c r="B114" s="95" t="str">
        <f>VLOOKUP(C114,lista_id!$D$2:$F$152,3,0)</f>
        <v>REGIONAL 5</v>
      </c>
      <c r="C114" s="102" t="str">
        <f>IFERROR(__xludf.DUMMYFUNCTION("""COMPUTED_VALUE"""),"CEMEI PROFESSORA LINDOMAR DOMINGOS DA SILVA ANJOS")</f>
        <v>CEMEI PROFESSORA LINDOMAR DOMINGOS DA SILVA ANJOS</v>
      </c>
      <c r="D114" s="95" t="str">
        <f>IFERROR(__xludf.DUMMYFUNCTION("""COMPUTED_VALUE"""),"INFANTIL 2")</f>
        <v>INFANTIL 2</v>
      </c>
      <c r="E114" s="95" t="str">
        <f>IFERROR(__xludf.DUMMYFUNCTION("""COMPUTED_VALUE"""),"Integral")</f>
        <v>Integral</v>
      </c>
      <c r="F114" s="95" t="str">
        <f>IFERROR(__xludf.DUMMYFUNCTION("""COMPUTED_VALUE"""),"Comum")</f>
        <v>Comum</v>
      </c>
      <c r="G114" s="95" t="str">
        <f>IFERROR(__xludf.DUMMYFUNCTION("""COMPUTED_VALUE"""),"17")</f>
        <v>17</v>
      </c>
      <c r="H114" s="95" t="str">
        <f>IFERROR(__xludf.DUMMYFUNCTION("""COMPUTED_VALUE"""),"26022483885")</f>
        <v>26022483885</v>
      </c>
      <c r="I114" s="105" t="str">
        <f>IFERROR(__xludf.DUMMYFUNCTION("""COMPUTED_VALUE"""),"03/02/2026 19:19:03")</f>
        <v>03/02/2026 19:19:03</v>
      </c>
      <c r="J114" s="95" t="str">
        <f>IFERROR(__xludf.DUMMYFUNCTION("""COMPUTED_VALUE"""),"AYLLA ELOÁ VITÓRIA DA SILVA")</f>
        <v>AYLLA ELOÁ VITÓRIA DA SILVA</v>
      </c>
      <c r="K114" s="95" t="str">
        <f>IFERROR(__xludf.DUMMYFUNCTION("""COMPUTED_VALUE"""),"185.751.114-00")</f>
        <v>185.751.114-00</v>
      </c>
      <c r="L114" s="104" t="str">
        <f>IFERROR(__xludf.DUMMYFUNCTION("""COMPUTED_VALUE"""),"22/06/2023")</f>
        <v>22/06/2023</v>
      </c>
      <c r="M114" s="104"/>
      <c r="N114" s="95" t="str">
        <f>IFERROR(__xludf.DUMMYFUNCTION("""COMPUTED_VALUE"""),"0")</f>
        <v>0</v>
      </c>
      <c r="O114" s="95"/>
      <c r="P114" s="95"/>
      <c r="Q114" s="95"/>
      <c r="R114" s="95"/>
      <c r="S114" s="95"/>
      <c r="T114" s="95"/>
      <c r="U114" s="95"/>
      <c r="V114" s="95"/>
      <c r="W114" s="95"/>
      <c r="X114" s="95"/>
      <c r="Y114" s="95"/>
      <c r="Z114" s="95"/>
      <c r="AA114" s="95"/>
      <c r="AB114" s="95"/>
      <c r="AC114" s="95"/>
    </row>
    <row r="115" ht="15.75" customHeight="1" spans="1:29">
      <c r="A115" s="95"/>
      <c r="B115" s="95" t="str">
        <f>VLOOKUP(C115,lista_id!$D$2:$F$152,3,0)</f>
        <v>REGIONAL 5</v>
      </c>
      <c r="C115" s="102" t="str">
        <f>IFERROR(__xludf.DUMMYFUNCTION("""COMPUTED_VALUE"""),"CEMEI PROFESSORA LINDOMAR DOMINGOS DA SILVA ANJOS")</f>
        <v>CEMEI PROFESSORA LINDOMAR DOMINGOS DA SILVA ANJOS</v>
      </c>
      <c r="D115" s="95" t="str">
        <f>IFERROR(__xludf.DUMMYFUNCTION("""COMPUTED_VALUE"""),"INFANTIL 2")</f>
        <v>INFANTIL 2</v>
      </c>
      <c r="E115" s="95" t="str">
        <f>IFERROR(__xludf.DUMMYFUNCTION("""COMPUTED_VALUE"""),"Integral")</f>
        <v>Integral</v>
      </c>
      <c r="F115" s="95" t="str">
        <f>IFERROR(__xludf.DUMMYFUNCTION("""COMPUTED_VALUE"""),"Comum")</f>
        <v>Comum</v>
      </c>
      <c r="G115" s="95" t="str">
        <f>IFERROR(__xludf.DUMMYFUNCTION("""COMPUTED_VALUE"""),"18")</f>
        <v>18</v>
      </c>
      <c r="H115" s="95" t="str">
        <f>IFERROR(__xludf.DUMMYFUNCTION("""COMPUTED_VALUE"""),"26022375442")</f>
        <v>26022375442</v>
      </c>
      <c r="I115" s="105" t="str">
        <f>IFERROR(__xludf.DUMMYFUNCTION("""COMPUTED_VALUE"""),"04/02/2026 09:54:58")</f>
        <v>04/02/2026 09:54:58</v>
      </c>
      <c r="J115" s="95" t="str">
        <f>IFERROR(__xludf.DUMMYFUNCTION("""COMPUTED_VALUE"""),"ANTHONY MIGUEL MEDEIROS DE LIMA")</f>
        <v>ANTHONY MIGUEL MEDEIROS DE LIMA</v>
      </c>
      <c r="K115" s="95" t="str">
        <f>IFERROR(__xludf.DUMMYFUNCTION("""COMPUTED_VALUE"""),"186.252.964-75")</f>
        <v>186.252.964-75</v>
      </c>
      <c r="L115" s="104" t="str">
        <f>IFERROR(__xludf.DUMMYFUNCTION("""COMPUTED_VALUE"""),"11/07/2023")</f>
        <v>11/07/2023</v>
      </c>
      <c r="M115" s="104"/>
      <c r="N115" s="95" t="str">
        <f>IFERROR(__xludf.DUMMYFUNCTION("""COMPUTED_VALUE"""),"0")</f>
        <v>0</v>
      </c>
      <c r="O115" s="95"/>
      <c r="P115" s="95"/>
      <c r="Q115" s="95"/>
      <c r="R115" s="95"/>
      <c r="S115" s="95"/>
      <c r="T115" s="95"/>
      <c r="U115" s="95"/>
      <c r="V115" s="95"/>
      <c r="W115" s="95"/>
      <c r="X115" s="95"/>
      <c r="Y115" s="95"/>
      <c r="Z115" s="95"/>
      <c r="AA115" s="95"/>
      <c r="AB115" s="95"/>
      <c r="AC115" s="95"/>
    </row>
    <row r="116" ht="15.75" customHeight="1" spans="1:29">
      <c r="A116" s="95"/>
      <c r="B116" s="95" t="str">
        <f>VLOOKUP(C116,lista_id!$D$2:$F$152,3,0)</f>
        <v>REGIONAL 5</v>
      </c>
      <c r="C116" s="102" t="str">
        <f>IFERROR(__xludf.DUMMYFUNCTION("""COMPUTED_VALUE"""),"CEMEI PROFESSORA LINDOMAR DOMINGOS DA SILVA ANJOS")</f>
        <v>CEMEI PROFESSORA LINDOMAR DOMINGOS DA SILVA ANJOS</v>
      </c>
      <c r="D116" s="95" t="str">
        <f>IFERROR(__xludf.DUMMYFUNCTION("""COMPUTED_VALUE"""),"INFANTIL 2")</f>
        <v>INFANTIL 2</v>
      </c>
      <c r="E116" s="95" t="str">
        <f>IFERROR(__xludf.DUMMYFUNCTION("""COMPUTED_VALUE"""),"Integral")</f>
        <v>Integral</v>
      </c>
      <c r="F116" s="95" t="str">
        <f>IFERROR(__xludf.DUMMYFUNCTION("""COMPUTED_VALUE"""),"Comum")</f>
        <v>Comum</v>
      </c>
      <c r="G116" s="95" t="str">
        <f>IFERROR(__xludf.DUMMYFUNCTION("""COMPUTED_VALUE"""),"19")</f>
        <v>19</v>
      </c>
      <c r="H116" s="95" t="str">
        <f>IFERROR(__xludf.DUMMYFUNCTION("""COMPUTED_VALUE"""),"26022391237")</f>
        <v>26022391237</v>
      </c>
      <c r="I116" s="105" t="str">
        <f>IFERROR(__xludf.DUMMYFUNCTION("""COMPUTED_VALUE"""),"04/02/2026 12:41:36")</f>
        <v>04/02/2026 12:41:36</v>
      </c>
      <c r="J116" s="95" t="str">
        <f>IFERROR(__xludf.DUMMYFUNCTION("""COMPUTED_VALUE"""),"ISAAC RAFAEL DA SILVA")</f>
        <v>ISAAC RAFAEL DA SILVA</v>
      </c>
      <c r="K116" s="95" t="str">
        <f>IFERROR(__xludf.DUMMYFUNCTION("""COMPUTED_VALUE"""),"185.156.394-67")</f>
        <v>185.156.394-67</v>
      </c>
      <c r="L116" s="104" t="str">
        <f>IFERROR(__xludf.DUMMYFUNCTION("""COMPUTED_VALUE"""),"17/04/2023")</f>
        <v>17/04/2023</v>
      </c>
      <c r="M116" s="104"/>
      <c r="N116" s="95" t="str">
        <f>IFERROR(__xludf.DUMMYFUNCTION("""COMPUTED_VALUE"""),"0")</f>
        <v>0</v>
      </c>
      <c r="O116" s="95"/>
      <c r="P116" s="95"/>
      <c r="Q116" s="95"/>
      <c r="R116" s="95"/>
      <c r="S116" s="95"/>
      <c r="T116" s="95"/>
      <c r="U116" s="95"/>
      <c r="V116" s="95"/>
      <c r="W116" s="95"/>
      <c r="X116" s="95"/>
      <c r="Y116" s="95"/>
      <c r="Z116" s="95"/>
      <c r="AA116" s="95"/>
      <c r="AB116" s="95"/>
      <c r="AC116" s="95"/>
    </row>
    <row r="117" ht="15.75" customHeight="1" spans="1:29">
      <c r="A117" s="95"/>
      <c r="B117" s="95" t="str">
        <f>VLOOKUP(C117,lista_id!$D$2:$F$152,3,0)</f>
        <v>REGIONAL 5</v>
      </c>
      <c r="C117" s="102" t="str">
        <f>IFERROR(__xludf.DUMMYFUNCTION("""COMPUTED_VALUE"""),"CEMEI PROFESSORA LINDOMAR DOMINGOS DA SILVA ANJOS")</f>
        <v>CEMEI PROFESSORA LINDOMAR DOMINGOS DA SILVA ANJOS</v>
      </c>
      <c r="D117" s="95" t="str">
        <f>IFERROR(__xludf.DUMMYFUNCTION("""COMPUTED_VALUE"""),"INFANTIL 2")</f>
        <v>INFANTIL 2</v>
      </c>
      <c r="E117" s="95" t="str">
        <f>IFERROR(__xludf.DUMMYFUNCTION("""COMPUTED_VALUE"""),"Integral")</f>
        <v>Integral</v>
      </c>
      <c r="F117" s="95" t="str">
        <f>IFERROR(__xludf.DUMMYFUNCTION("""COMPUTED_VALUE"""),"Comum")</f>
        <v>Comum</v>
      </c>
      <c r="G117" s="95" t="str">
        <f>IFERROR(__xludf.DUMMYFUNCTION("""COMPUTED_VALUE"""),"20")</f>
        <v>20</v>
      </c>
      <c r="H117" s="95" t="str">
        <f>IFERROR(__xludf.DUMMYFUNCTION("""COMPUTED_VALUE"""),"26022467088")</f>
        <v>26022467088</v>
      </c>
      <c r="I117" s="105" t="str">
        <f>IFERROR(__xludf.DUMMYFUNCTION("""COMPUTED_VALUE"""),"04/02/2026 15:23:58")</f>
        <v>04/02/2026 15:23:58</v>
      </c>
      <c r="J117" s="95" t="str">
        <f>IFERROR(__xludf.DUMMYFUNCTION("""COMPUTED_VALUE"""),"CALEB RAFAEL LOPES DOS SANTOS")</f>
        <v>CALEB RAFAEL LOPES DOS SANTOS</v>
      </c>
      <c r="K117" s="95" t="str">
        <f>IFERROR(__xludf.DUMMYFUNCTION("""COMPUTED_VALUE"""),"185.570.964-37")</f>
        <v>185.570.964-37</v>
      </c>
      <c r="L117" s="104" t="str">
        <f>IFERROR(__xludf.DUMMYFUNCTION("""COMPUTED_VALUE"""),"05/06/2023")</f>
        <v>05/06/2023</v>
      </c>
      <c r="M117" s="104"/>
      <c r="N117" s="95" t="str">
        <f>IFERROR(__xludf.DUMMYFUNCTION("""COMPUTED_VALUE"""),"0")</f>
        <v>0</v>
      </c>
      <c r="O117" s="95"/>
      <c r="P117" s="95"/>
      <c r="Q117" s="95"/>
      <c r="R117" s="95"/>
      <c r="S117" s="95"/>
      <c r="T117" s="95"/>
      <c r="U117" s="95"/>
      <c r="V117" s="95"/>
      <c r="W117" s="95"/>
      <c r="X117" s="95"/>
      <c r="Y117" s="95"/>
      <c r="Z117" s="95"/>
      <c r="AA117" s="95"/>
      <c r="AB117" s="95"/>
      <c r="AC117" s="95"/>
    </row>
    <row r="118" ht="15.75" customHeight="1" spans="1:29">
      <c r="A118" s="95"/>
      <c r="B118" s="95" t="str">
        <f>VLOOKUP(C118,lista_id!$D$2:$F$152,3,0)</f>
        <v>REGIONAL 5</v>
      </c>
      <c r="C118" s="102" t="str">
        <f>IFERROR(__xludf.DUMMYFUNCTION("""COMPUTED_VALUE"""),"CEMEI PROFESSORA LINDOMAR DOMINGOS DA SILVA ANJOS")</f>
        <v>CEMEI PROFESSORA LINDOMAR DOMINGOS DA SILVA ANJOS</v>
      </c>
      <c r="D118" s="95" t="str">
        <f>IFERROR(__xludf.DUMMYFUNCTION("""COMPUTED_VALUE"""),"INFANTIL 2")</f>
        <v>INFANTIL 2</v>
      </c>
      <c r="E118" s="95" t="str">
        <f>IFERROR(__xludf.DUMMYFUNCTION("""COMPUTED_VALUE"""),"Integral")</f>
        <v>Integral</v>
      </c>
      <c r="F118" s="95" t="str">
        <f>IFERROR(__xludf.DUMMYFUNCTION("""COMPUTED_VALUE"""),"Comum")</f>
        <v>Comum</v>
      </c>
      <c r="G118" s="95" t="str">
        <f>IFERROR(__xludf.DUMMYFUNCTION("""COMPUTED_VALUE"""),"21")</f>
        <v>21</v>
      </c>
      <c r="H118" s="95" t="str">
        <f>IFERROR(__xludf.DUMMYFUNCTION("""COMPUTED_VALUE"""),"26022048043")</f>
        <v>26022048043</v>
      </c>
      <c r="I118" s="105" t="str">
        <f>IFERROR(__xludf.DUMMYFUNCTION("""COMPUTED_VALUE"""),"05/02/2026 16:07:06")</f>
        <v>05/02/2026 16:07:06</v>
      </c>
      <c r="J118" s="95" t="str">
        <f>IFERROR(__xludf.DUMMYFUNCTION("""COMPUTED_VALUE"""),"CLARISSE RENATA MIGUEL AZEVEDO DE ALMEIDA")</f>
        <v>CLARISSE RENATA MIGUEL AZEVEDO DE ALMEIDA</v>
      </c>
      <c r="K118" s="95" t="str">
        <f>IFERROR(__xludf.DUMMYFUNCTION("""COMPUTED_VALUE"""),"186.226.954-84")</f>
        <v>186.226.954-84</v>
      </c>
      <c r="L118" s="106" t="str">
        <f>IFERROR(__xludf.DUMMYFUNCTION("""COMPUTED_VALUE"""),"11/08/2023")</f>
        <v>11/08/2023</v>
      </c>
      <c r="M118" s="106"/>
      <c r="N118" s="95" t="str">
        <f>IFERROR(__xludf.DUMMYFUNCTION("""COMPUTED_VALUE"""),"0")</f>
        <v>0</v>
      </c>
      <c r="O118" s="95"/>
      <c r="P118" s="95"/>
      <c r="Q118" s="95"/>
      <c r="R118" s="95"/>
      <c r="S118" s="95"/>
      <c r="T118" s="95"/>
      <c r="U118" s="95"/>
      <c r="V118" s="95"/>
      <c r="W118" s="95"/>
      <c r="X118" s="95"/>
      <c r="Y118" s="95"/>
      <c r="Z118" s="95"/>
      <c r="AA118" s="95"/>
      <c r="AB118" s="95"/>
      <c r="AC118" s="95"/>
    </row>
    <row r="119" ht="15.75" customHeight="1" spans="1:29">
      <c r="A119" s="95"/>
      <c r="B119" s="95" t="str">
        <f>VLOOKUP(C119,lista_id!$D$2:$F$152,3,0)</f>
        <v>REGIONAL 5</v>
      </c>
      <c r="C119" s="102" t="str">
        <f>IFERROR(__xludf.DUMMYFUNCTION("""COMPUTED_VALUE"""),"CEMEI PROFESSORA LINDOMAR DOMINGOS DA SILVA ANJOS")</f>
        <v>CEMEI PROFESSORA LINDOMAR DOMINGOS DA SILVA ANJOS</v>
      </c>
      <c r="D119" s="95" t="str">
        <f>IFERROR(__xludf.DUMMYFUNCTION("""COMPUTED_VALUE"""),"INFANTIL 2")</f>
        <v>INFANTIL 2</v>
      </c>
      <c r="E119" s="95" t="str">
        <f>IFERROR(__xludf.DUMMYFUNCTION("""COMPUTED_VALUE"""),"Integral")</f>
        <v>Integral</v>
      </c>
      <c r="F119" s="95" t="str">
        <f>IFERROR(__xludf.DUMMYFUNCTION("""COMPUTED_VALUE"""),"Comum")</f>
        <v>Comum</v>
      </c>
      <c r="G119" s="95" t="str">
        <f>IFERROR(__xludf.DUMMYFUNCTION("""COMPUTED_VALUE"""),"22")</f>
        <v>22</v>
      </c>
      <c r="H119" s="95" t="str">
        <f>IFERROR(__xludf.DUMMYFUNCTION("""COMPUTED_VALUE"""),"26022357979")</f>
        <v>26022357979</v>
      </c>
      <c r="I119" s="105" t="str">
        <f>IFERROR(__xludf.DUMMYFUNCTION("""COMPUTED_VALUE"""),"09/02/2026 09:40:47")</f>
        <v>09/02/2026 09:40:47</v>
      </c>
      <c r="J119" s="95" t="str">
        <f>IFERROR(__xludf.DUMMYFUNCTION("""COMPUTED_VALUE"""),"MARIA CECÍLIA DA SILVA")</f>
        <v>MARIA CECÍLIA DA SILVA</v>
      </c>
      <c r="K119" s="95" t="str">
        <f>IFERROR(__xludf.DUMMYFUNCTION("""COMPUTED_VALUE"""),"001.740.454-17")</f>
        <v>001.740.454-17</v>
      </c>
      <c r="L119" s="104" t="str">
        <f>IFERROR(__xludf.DUMMYFUNCTION("""COMPUTED_VALUE"""),"26/01/2024")</f>
        <v>26/01/2024</v>
      </c>
      <c r="M119" s="104"/>
      <c r="N119" s="95" t="str">
        <f>IFERROR(__xludf.DUMMYFUNCTION("""COMPUTED_VALUE"""),"0")</f>
        <v>0</v>
      </c>
      <c r="O119" s="95"/>
      <c r="P119" s="95"/>
      <c r="Q119" s="95"/>
      <c r="R119" s="95"/>
      <c r="S119" s="95"/>
      <c r="T119" s="95"/>
      <c r="U119" s="95"/>
      <c r="V119" s="95"/>
      <c r="W119" s="95"/>
      <c r="X119" s="95"/>
      <c r="Y119" s="95"/>
      <c r="Z119" s="95"/>
      <c r="AA119" s="95"/>
      <c r="AB119" s="95"/>
      <c r="AC119" s="95"/>
    </row>
    <row r="120" ht="15.75" customHeight="1" spans="1:29">
      <c r="A120" s="95"/>
      <c r="B120" s="95" t="str">
        <f>VLOOKUP(C120,lista_id!$D$2:$F$152,3,0)</f>
        <v>REGIONAL 5</v>
      </c>
      <c r="C120" s="102" t="str">
        <f>IFERROR(__xludf.DUMMYFUNCTION("""COMPUTED_VALUE"""),"CEMEI PROFESSORA LINDOMAR DOMINGOS DA SILVA ANJOS")</f>
        <v>CEMEI PROFESSORA LINDOMAR DOMINGOS DA SILVA ANJOS</v>
      </c>
      <c r="D120" s="95" t="str">
        <f>IFERROR(__xludf.DUMMYFUNCTION("""COMPUTED_VALUE"""),"INFANTIL 2")</f>
        <v>INFANTIL 2</v>
      </c>
      <c r="E120" s="95" t="str">
        <f>IFERROR(__xludf.DUMMYFUNCTION("""COMPUTED_VALUE"""),"Integral")</f>
        <v>Integral</v>
      </c>
      <c r="F120" s="95" t="str">
        <f>IFERROR(__xludf.DUMMYFUNCTION("""COMPUTED_VALUE"""),"Comum")</f>
        <v>Comum</v>
      </c>
      <c r="G120" s="95" t="str">
        <f>IFERROR(__xludf.DUMMYFUNCTION("""COMPUTED_VALUE"""),"23")</f>
        <v>23</v>
      </c>
      <c r="H120" s="95" t="str">
        <f>IFERROR(__xludf.DUMMYFUNCTION("""COMPUTED_VALUE"""),"26022515763")</f>
        <v>26022515763</v>
      </c>
      <c r="I120" s="103" t="str">
        <f>IFERROR(__xludf.DUMMYFUNCTION("""COMPUTED_VALUE"""),"10/02/2026 07:55:39")</f>
        <v>10/02/2026 07:55:39</v>
      </c>
      <c r="J120" s="95" t="str">
        <f>IFERROR(__xludf.DUMMYFUNCTION("""COMPUTED_VALUE"""),"MIGUEL BARRETO GOMES")</f>
        <v>MIGUEL BARRETO GOMES</v>
      </c>
      <c r="K120" s="95" t="str">
        <f>IFERROR(__xludf.DUMMYFUNCTION("""COMPUTED_VALUE"""),"001.204.304-44")</f>
        <v>001.204.304-44</v>
      </c>
      <c r="L120" s="104" t="str">
        <f>IFERROR(__xludf.DUMMYFUNCTION("""COMPUTED_VALUE"""),"07/12/2023")</f>
        <v>07/12/2023</v>
      </c>
      <c r="M120" s="104"/>
      <c r="N120" s="95" t="str">
        <f>IFERROR(__xludf.DUMMYFUNCTION("""COMPUTED_VALUE"""),"0")</f>
        <v>0</v>
      </c>
      <c r="O120" s="95"/>
      <c r="P120" s="95"/>
      <c r="Q120" s="95"/>
      <c r="R120" s="95"/>
      <c r="S120" s="95"/>
      <c r="T120" s="95"/>
      <c r="U120" s="95"/>
      <c r="V120" s="95"/>
      <c r="W120" s="95"/>
      <c r="X120" s="95"/>
      <c r="Y120" s="95"/>
      <c r="Z120" s="95"/>
      <c r="AA120" s="95"/>
      <c r="AB120" s="95"/>
      <c r="AC120" s="95"/>
    </row>
    <row r="121" ht="15.75" customHeight="1" spans="1:29">
      <c r="A121" s="95"/>
      <c r="B121" s="95" t="str">
        <f>VLOOKUP(C121,lista_id!$D$2:$F$152,3,0)</f>
        <v>REGIONAL 5</v>
      </c>
      <c r="C121" s="102" t="str">
        <f>IFERROR(__xludf.DUMMYFUNCTION("""COMPUTED_VALUE"""),"CEMEI PROFESSORA LINDOMAR DOMINGOS DA SILVA ANJOS")</f>
        <v>CEMEI PROFESSORA LINDOMAR DOMINGOS DA SILVA ANJOS</v>
      </c>
      <c r="D121" s="95" t="str">
        <f>IFERROR(__xludf.DUMMYFUNCTION("""COMPUTED_VALUE"""),"INFANTIL 2")</f>
        <v>INFANTIL 2</v>
      </c>
      <c r="E121" s="95" t="str">
        <f>IFERROR(__xludf.DUMMYFUNCTION("""COMPUTED_VALUE"""),"Integral")</f>
        <v>Integral</v>
      </c>
      <c r="F121" s="95" t="str">
        <f>IFERROR(__xludf.DUMMYFUNCTION("""COMPUTED_VALUE"""),"Comum")</f>
        <v>Comum</v>
      </c>
      <c r="G121" s="95" t="str">
        <f>IFERROR(__xludf.DUMMYFUNCTION("""COMPUTED_VALUE"""),"24")</f>
        <v>24</v>
      </c>
      <c r="H121" s="95" t="str">
        <f>IFERROR(__xludf.DUMMYFUNCTION("""COMPUTED_VALUE"""),"26022346097")</f>
        <v>26022346097</v>
      </c>
      <c r="I121" s="103" t="str">
        <f>IFERROR(__xludf.DUMMYFUNCTION("""COMPUTED_VALUE"""),"10/02/2026 08:09:08")</f>
        <v>10/02/2026 08:09:08</v>
      </c>
      <c r="J121" s="95" t="str">
        <f>IFERROR(__xludf.DUMMYFUNCTION("""COMPUTED_VALUE"""),"GAEL LEVI MARQUES DE LIMA")</f>
        <v>GAEL LEVI MARQUES DE LIMA</v>
      </c>
      <c r="K121" s="95" t="str">
        <f>IFERROR(__xludf.DUMMYFUNCTION("""COMPUTED_VALUE"""),"185.616.944-83")</f>
        <v>185.616.944-83</v>
      </c>
      <c r="L121" s="106" t="str">
        <f>IFERROR(__xludf.DUMMYFUNCTION("""COMPUTED_VALUE"""),"08/06/2023")</f>
        <v>08/06/2023</v>
      </c>
      <c r="M121" s="104"/>
      <c r="N121" s="95" t="str">
        <f>IFERROR(__xludf.DUMMYFUNCTION("""COMPUTED_VALUE"""),"0")</f>
        <v>0</v>
      </c>
      <c r="O121" s="95"/>
      <c r="P121" s="95"/>
      <c r="Q121" s="95"/>
      <c r="R121" s="95"/>
      <c r="S121" s="95"/>
      <c r="T121" s="95"/>
      <c r="U121" s="95"/>
      <c r="V121" s="95"/>
      <c r="W121" s="95"/>
      <c r="X121" s="95"/>
      <c r="Y121" s="95"/>
      <c r="Z121" s="95"/>
      <c r="AA121" s="95"/>
      <c r="AB121" s="95"/>
      <c r="AC121" s="95"/>
    </row>
    <row r="122" ht="15.75" customHeight="1" spans="1:29">
      <c r="A122" s="95"/>
      <c r="B122" s="95" t="str">
        <f>VLOOKUP(C122,lista_id!$D$2:$F$152,3,0)</f>
        <v>REGIONAL 5</v>
      </c>
      <c r="C122" s="102" t="str">
        <f>IFERROR(__xludf.DUMMYFUNCTION("""COMPUTED_VALUE"""),"CEMEI PROFESSORA LINDOMAR DOMINGOS DA SILVA ANJOS")</f>
        <v>CEMEI PROFESSORA LINDOMAR DOMINGOS DA SILVA ANJOS</v>
      </c>
      <c r="D122" s="95" t="str">
        <f>IFERROR(__xludf.DUMMYFUNCTION("""COMPUTED_VALUE"""),"INFANTIL 2")</f>
        <v>INFANTIL 2</v>
      </c>
      <c r="E122" s="95" t="str">
        <f>IFERROR(__xludf.DUMMYFUNCTION("""COMPUTED_VALUE"""),"Integral")</f>
        <v>Integral</v>
      </c>
      <c r="F122" s="95" t="str">
        <f>IFERROR(__xludf.DUMMYFUNCTION("""COMPUTED_VALUE"""),"Comum")</f>
        <v>Comum</v>
      </c>
      <c r="G122" s="95" t="str">
        <f>IFERROR(__xludf.DUMMYFUNCTION("""COMPUTED_VALUE"""),"25")</f>
        <v>25</v>
      </c>
      <c r="H122" s="95" t="str">
        <f>IFERROR(__xludf.DUMMYFUNCTION("""COMPUTED_VALUE"""),"26022325987")</f>
        <v>26022325987</v>
      </c>
      <c r="I122" s="103" t="str">
        <f>IFERROR(__xludf.DUMMYFUNCTION("""COMPUTED_VALUE"""),"10/02/2026 11:18:19")</f>
        <v>10/02/2026 11:18:19</v>
      </c>
      <c r="J122" s="95" t="str">
        <f>IFERROR(__xludf.DUMMYFUNCTION("""COMPUTED_VALUE"""),"JAERLLYSON JOSUE ANDRADE DA SILVA")</f>
        <v>JAERLLYSON JOSUE ANDRADE DA SILVA</v>
      </c>
      <c r="K122" s="95" t="str">
        <f>IFERROR(__xludf.DUMMYFUNCTION("""COMPUTED_VALUE"""),"185.899.144-70")</f>
        <v>185.899.144-70</v>
      </c>
      <c r="L122" s="104" t="str">
        <f>IFERROR(__xludf.DUMMYFUNCTION("""COMPUTED_VALUE"""),"05/07/2023")</f>
        <v>05/07/2023</v>
      </c>
      <c r="M122" s="104"/>
      <c r="N122" s="95" t="str">
        <f>IFERROR(__xludf.DUMMYFUNCTION("""COMPUTED_VALUE"""),"0")</f>
        <v>0</v>
      </c>
      <c r="O122" s="95"/>
      <c r="P122" s="95"/>
      <c r="Q122" s="95"/>
      <c r="R122" s="95"/>
      <c r="S122" s="95"/>
      <c r="T122" s="95"/>
      <c r="U122" s="95"/>
      <c r="V122" s="95"/>
      <c r="W122" s="95"/>
      <c r="X122" s="95"/>
      <c r="Y122" s="95"/>
      <c r="Z122" s="95"/>
      <c r="AA122" s="95"/>
      <c r="AB122" s="95"/>
      <c r="AC122" s="95"/>
    </row>
    <row r="123" ht="15.75" customHeight="1" spans="1:29">
      <c r="A123" s="95"/>
      <c r="B123" s="95" t="str">
        <f>VLOOKUP(C123,lista_id!$D$2:$F$152,3,0)</f>
        <v>REGIONAL 5</v>
      </c>
      <c r="C123" s="102" t="str">
        <f>IFERROR(__xludf.DUMMYFUNCTION("""COMPUTED_VALUE"""),"CEMEI PROFESSORA LINDOMAR DOMINGOS DA SILVA ANJOS")</f>
        <v>CEMEI PROFESSORA LINDOMAR DOMINGOS DA SILVA ANJOS</v>
      </c>
      <c r="D123" s="95" t="str">
        <f>IFERROR(__xludf.DUMMYFUNCTION("""COMPUTED_VALUE"""),"INFANTIL 2")</f>
        <v>INFANTIL 2</v>
      </c>
      <c r="E123" s="95" t="str">
        <f>IFERROR(__xludf.DUMMYFUNCTION("""COMPUTED_VALUE"""),"Integral")</f>
        <v>Integral</v>
      </c>
      <c r="F123" s="95" t="str">
        <f>IFERROR(__xludf.DUMMYFUNCTION("""COMPUTED_VALUE"""),"Comum")</f>
        <v>Comum</v>
      </c>
      <c r="G123" s="95" t="str">
        <f>IFERROR(__xludf.DUMMYFUNCTION("""COMPUTED_VALUE"""),"26")</f>
        <v>26</v>
      </c>
      <c r="H123" s="95" t="str">
        <f>IFERROR(__xludf.DUMMYFUNCTION("""COMPUTED_VALUE"""),"26022567663")</f>
        <v>26022567663</v>
      </c>
      <c r="I123" s="103" t="str">
        <f>IFERROR(__xludf.DUMMYFUNCTION("""COMPUTED_VALUE"""),"11/02/2026 13:53:52")</f>
        <v>11/02/2026 13:53:52</v>
      </c>
      <c r="J123" s="95" t="str">
        <f>IFERROR(__xludf.DUMMYFUNCTION("""COMPUTED_VALUE"""),"YARA MELISSA VALENTINA DA SILVA NEVES")</f>
        <v>YARA MELISSA VALENTINA DA SILVA NEVES</v>
      </c>
      <c r="K123" s="95" t="str">
        <f>IFERROR(__xludf.DUMMYFUNCTION("""COMPUTED_VALUE"""),"000.986.854-22")</f>
        <v>000.986.854-22</v>
      </c>
      <c r="L123" s="104" t="str">
        <f>IFERROR(__xludf.DUMMYFUNCTION("""COMPUTED_VALUE"""),"10/11/2023")</f>
        <v>10/11/2023</v>
      </c>
      <c r="M123" s="104"/>
      <c r="N123" s="95" t="str">
        <f>IFERROR(__xludf.DUMMYFUNCTION("""COMPUTED_VALUE"""),"0")</f>
        <v>0</v>
      </c>
      <c r="O123" s="95"/>
      <c r="P123" s="95"/>
      <c r="Q123" s="95"/>
      <c r="R123" s="95"/>
      <c r="S123" s="95"/>
      <c r="T123" s="95"/>
      <c r="U123" s="95"/>
      <c r="V123" s="95"/>
      <c r="W123" s="95"/>
      <c r="X123" s="95"/>
      <c r="Y123" s="95"/>
      <c r="Z123" s="95"/>
      <c r="AA123" s="95"/>
      <c r="AB123" s="95"/>
      <c r="AC123" s="95"/>
    </row>
    <row r="124" ht="15.75" customHeight="1" spans="1:29">
      <c r="A124" s="95"/>
      <c r="B124" s="95" t="str">
        <f>VLOOKUP(C124,lista_id!$D$2:$F$152,3,0)</f>
        <v>REGIONAL 5</v>
      </c>
      <c r="C124" s="102" t="str">
        <f>IFERROR(__xludf.DUMMYFUNCTION("""COMPUTED_VALUE"""),"CEMEI PROFESSORA LINDOMAR DOMINGOS DA SILVA ANJOS")</f>
        <v>CEMEI PROFESSORA LINDOMAR DOMINGOS DA SILVA ANJOS</v>
      </c>
      <c r="D124" s="95" t="str">
        <f>IFERROR(__xludf.DUMMYFUNCTION("""COMPUTED_VALUE"""),"INFANTIL 2")</f>
        <v>INFANTIL 2</v>
      </c>
      <c r="E124" s="95" t="str">
        <f>IFERROR(__xludf.DUMMYFUNCTION("""COMPUTED_VALUE"""),"Integral")</f>
        <v>Integral</v>
      </c>
      <c r="F124" s="95" t="str">
        <f>IFERROR(__xludf.DUMMYFUNCTION("""COMPUTED_VALUE"""),"Comum")</f>
        <v>Comum</v>
      </c>
      <c r="G124" s="95" t="str">
        <f>IFERROR(__xludf.DUMMYFUNCTION("""COMPUTED_VALUE"""),"27")</f>
        <v>27</v>
      </c>
      <c r="H124" s="95" t="str">
        <f>IFERROR(__xludf.DUMMYFUNCTION("""COMPUTED_VALUE"""),"26022411139")</f>
        <v>26022411139</v>
      </c>
      <c r="I124" s="103" t="str">
        <f>IFERROR(__xludf.DUMMYFUNCTION("""COMPUTED_VALUE"""),"19/02/2026 09:30:52")</f>
        <v>19/02/2026 09:30:52</v>
      </c>
      <c r="J124" s="95" t="str">
        <f>IFERROR(__xludf.DUMMYFUNCTION("""COMPUTED_VALUE"""),"BEN DE SOUZA FRANCISCO")</f>
        <v>BEN DE SOUZA FRANCISCO</v>
      </c>
      <c r="K124" s="95" t="str">
        <f>IFERROR(__xludf.DUMMYFUNCTION("""COMPUTED_VALUE"""),"185.296.954-70")</f>
        <v>185.296.954-70</v>
      </c>
      <c r="L124" s="104" t="str">
        <f>IFERROR(__xludf.DUMMYFUNCTION("""COMPUTED_VALUE"""),"25/04/2023")</f>
        <v>25/04/2023</v>
      </c>
      <c r="M124" s="106"/>
      <c r="N124" s="95" t="str">
        <f>IFERROR(__xludf.DUMMYFUNCTION("""COMPUTED_VALUE"""),"0")</f>
        <v>0</v>
      </c>
      <c r="O124" s="95"/>
      <c r="P124" s="95"/>
      <c r="Q124" s="95"/>
      <c r="R124" s="95"/>
      <c r="S124" s="95"/>
      <c r="T124" s="95"/>
      <c r="U124" s="95"/>
      <c r="V124" s="95"/>
      <c r="W124" s="95"/>
      <c r="X124" s="95"/>
      <c r="Y124" s="95"/>
      <c r="Z124" s="95"/>
      <c r="AA124" s="95"/>
      <c r="AB124" s="95"/>
      <c r="AC124" s="95"/>
    </row>
    <row r="125" ht="15.75" customHeight="1" spans="1:29">
      <c r="A125" s="95"/>
      <c r="B125" s="95" t="str">
        <f>VLOOKUP(C125,lista_id!$D$2:$F$152,3,0)</f>
        <v>REGIONAL 5</v>
      </c>
      <c r="C125" s="102" t="str">
        <f>IFERROR(__xludf.DUMMYFUNCTION("""COMPUTED_VALUE"""),"CEMEI PROFESSORA LINDOMAR DOMINGOS DA SILVA ANJOS")</f>
        <v>CEMEI PROFESSORA LINDOMAR DOMINGOS DA SILVA ANJOS</v>
      </c>
      <c r="D125" s="95" t="str">
        <f>IFERROR(__xludf.DUMMYFUNCTION("""COMPUTED_VALUE"""),"INFANTIL 2")</f>
        <v>INFANTIL 2</v>
      </c>
      <c r="E125" s="95" t="str">
        <f>IFERROR(__xludf.DUMMYFUNCTION("""COMPUTED_VALUE"""),"Integral")</f>
        <v>Integral</v>
      </c>
      <c r="F125" s="95" t="str">
        <f>IFERROR(__xludf.DUMMYFUNCTION("""COMPUTED_VALUE"""),"Comum")</f>
        <v>Comum</v>
      </c>
      <c r="G125" s="95" t="str">
        <f>IFERROR(__xludf.DUMMYFUNCTION("""COMPUTED_VALUE"""),"28")</f>
        <v>28</v>
      </c>
      <c r="H125" s="95" t="str">
        <f>IFERROR(__xludf.DUMMYFUNCTION("""COMPUTED_VALUE"""),"26032002382")</f>
        <v>26032002382</v>
      </c>
      <c r="I125" s="103" t="str">
        <f>IFERROR(__xludf.DUMMYFUNCTION("""COMPUTED_VALUE"""),"03/03/2026 12:02:06")</f>
        <v>03/03/2026 12:02:06</v>
      </c>
      <c r="J125" s="95" t="str">
        <f>IFERROR(__xludf.DUMMYFUNCTION("""COMPUTED_VALUE"""),"HEITOR BEZERRA DA SILVA")</f>
        <v>HEITOR BEZERRA DA SILVA</v>
      </c>
      <c r="K125" s="95" t="str">
        <f>IFERROR(__xludf.DUMMYFUNCTION("""COMPUTED_VALUE"""),"185.815.174-04")</f>
        <v>185.815.174-04</v>
      </c>
      <c r="L125" s="104" t="str">
        <f>IFERROR(__xludf.DUMMYFUNCTION("""COMPUTED_VALUE"""),"27/06/2023")</f>
        <v>27/06/2023</v>
      </c>
      <c r="M125" s="104"/>
      <c r="N125" s="95" t="str">
        <f>IFERROR(__xludf.DUMMYFUNCTION("""COMPUTED_VALUE"""),"0")</f>
        <v>0</v>
      </c>
      <c r="O125" s="95"/>
      <c r="P125" s="95"/>
      <c r="Q125" s="95"/>
      <c r="R125" s="95"/>
      <c r="S125" s="95"/>
      <c r="T125" s="95"/>
      <c r="U125" s="95"/>
      <c r="V125" s="95"/>
      <c r="W125" s="95"/>
      <c r="X125" s="95"/>
      <c r="Y125" s="95"/>
      <c r="Z125" s="95"/>
      <c r="AA125" s="95"/>
      <c r="AB125" s="95"/>
      <c r="AC125" s="95"/>
    </row>
    <row r="126" ht="15.75" customHeight="1" spans="1:29">
      <c r="A126" s="95"/>
      <c r="B126" s="95" t="str">
        <f>VLOOKUP(C126,lista_id!$D$2:$F$152,3,0)</f>
        <v>REGIONAL 5</v>
      </c>
      <c r="C126" s="102" t="str">
        <f>IFERROR(__xludf.DUMMYFUNCTION("""COMPUTED_VALUE"""),"CEMEI PROFESSORA LINDOMAR DOMINGOS DA SILVA ANJOS")</f>
        <v>CEMEI PROFESSORA LINDOMAR DOMINGOS DA SILVA ANJOS</v>
      </c>
      <c r="D126" s="95" t="str">
        <f>IFERROR(__xludf.DUMMYFUNCTION("""COMPUTED_VALUE"""),"INFANTIL 2")</f>
        <v>INFANTIL 2</v>
      </c>
      <c r="E126" s="95" t="str">
        <f>IFERROR(__xludf.DUMMYFUNCTION("""COMPUTED_VALUE"""),"Integral")</f>
        <v>Integral</v>
      </c>
      <c r="F126" s="95" t="str">
        <f>IFERROR(__xludf.DUMMYFUNCTION("""COMPUTED_VALUE"""),"Comum")</f>
        <v>Comum</v>
      </c>
      <c r="G126" s="95" t="str">
        <f>IFERROR(__xludf.DUMMYFUNCTION("""COMPUTED_VALUE"""),"29")</f>
        <v>29</v>
      </c>
      <c r="H126" s="95" t="str">
        <f>IFERROR(__xludf.DUMMYFUNCTION("""COMPUTED_VALUE"""),"26032341144")</f>
        <v>26032341144</v>
      </c>
      <c r="I126" s="103" t="str">
        <f>IFERROR(__xludf.DUMMYFUNCTION("""COMPUTED_VALUE"""),"04/03/2026 07:55:35")</f>
        <v>04/03/2026 07:55:35</v>
      </c>
      <c r="J126" s="95" t="str">
        <f>IFERROR(__xludf.DUMMYFUNCTION("""COMPUTED_VALUE"""),"ANTHONY GABRIEL PEREIRA DA SILVA")</f>
        <v>ANTHONY GABRIEL PEREIRA DA SILVA</v>
      </c>
      <c r="K126" s="95" t="str">
        <f>IFERROR(__xludf.DUMMYFUNCTION("""COMPUTED_VALUE"""),"001.086.874-73")</f>
        <v>001.086.874-73</v>
      </c>
      <c r="L126" s="104" t="str">
        <f>IFERROR(__xludf.DUMMYFUNCTION("""COMPUTED_VALUE"""),"16/11/2023")</f>
        <v>16/11/2023</v>
      </c>
      <c r="M126" s="104"/>
      <c r="N126" s="95" t="str">
        <f>IFERROR(__xludf.DUMMYFUNCTION("""COMPUTED_VALUE"""),"0")</f>
        <v>0</v>
      </c>
      <c r="O126" s="95"/>
      <c r="P126" s="95"/>
      <c r="Q126" s="95"/>
      <c r="R126" s="95"/>
      <c r="S126" s="95"/>
      <c r="T126" s="95"/>
      <c r="U126" s="95"/>
      <c r="V126" s="95"/>
      <c r="W126" s="95"/>
      <c r="X126" s="95"/>
      <c r="Y126" s="95"/>
      <c r="Z126" s="95"/>
      <c r="AA126" s="95"/>
      <c r="AB126" s="95"/>
      <c r="AC126" s="95"/>
    </row>
    <row r="127" ht="15.75" customHeight="1" spans="1:29">
      <c r="A127" s="95"/>
      <c r="B127" s="95" t="str">
        <f>VLOOKUP(C127,lista_id!$D$2:$F$152,3,0)</f>
        <v>REGIONAL 5</v>
      </c>
      <c r="C127" s="102" t="str">
        <f>IFERROR(__xludf.DUMMYFUNCTION("""COMPUTED_VALUE"""),"CEMEI PROFESSORA LINDOMAR DOMINGOS DA SILVA ANJOS")</f>
        <v>CEMEI PROFESSORA LINDOMAR DOMINGOS DA SILVA ANJOS</v>
      </c>
      <c r="D127" s="95" t="str">
        <f>IFERROR(__xludf.DUMMYFUNCTION("""COMPUTED_VALUE"""),"INFANTIL 2")</f>
        <v>INFANTIL 2</v>
      </c>
      <c r="E127" s="95" t="str">
        <f>IFERROR(__xludf.DUMMYFUNCTION("""COMPUTED_VALUE"""),"Integral")</f>
        <v>Integral</v>
      </c>
      <c r="F127" s="95" t="str">
        <f>IFERROR(__xludf.DUMMYFUNCTION("""COMPUTED_VALUE"""),"Comum")</f>
        <v>Comum</v>
      </c>
      <c r="G127" s="95" t="str">
        <f>IFERROR(__xludf.DUMMYFUNCTION("""COMPUTED_VALUE"""),"30")</f>
        <v>30</v>
      </c>
      <c r="H127" s="95" t="str">
        <f>IFERROR(__xludf.DUMMYFUNCTION("""COMPUTED_VALUE"""),"26032537108")</f>
        <v>26032537108</v>
      </c>
      <c r="I127" s="103" t="str">
        <f>IFERROR(__xludf.DUMMYFUNCTION("""COMPUTED_VALUE"""),"12/03/2026 11:41:32")</f>
        <v>12/03/2026 11:41:32</v>
      </c>
      <c r="J127" s="95" t="str">
        <f>IFERROR(__xludf.DUMMYFUNCTION("""COMPUTED_VALUE"""),"ANTHONY HENRIQUE SANTOS DA SILVA")</f>
        <v>ANTHONY HENRIQUE SANTOS DA SILVA</v>
      </c>
      <c r="K127" s="95" t="str">
        <f>IFERROR(__xludf.DUMMYFUNCTION("""COMPUTED_VALUE"""),"186.598.194-03")</f>
        <v>186.598.194-03</v>
      </c>
      <c r="L127" s="104" t="str">
        <f>IFERROR(__xludf.DUMMYFUNCTION("""COMPUTED_VALUE"""),"21/09/2023")</f>
        <v>21/09/2023</v>
      </c>
      <c r="M127" s="104"/>
      <c r="N127" s="95" t="str">
        <f>IFERROR(__xludf.DUMMYFUNCTION("""COMPUTED_VALUE"""),"0")</f>
        <v>0</v>
      </c>
      <c r="O127" s="95"/>
      <c r="P127" s="95"/>
      <c r="Q127" s="95"/>
      <c r="R127" s="95"/>
      <c r="S127" s="95"/>
      <c r="T127" s="95"/>
      <c r="U127" s="95"/>
      <c r="V127" s="95"/>
      <c r="W127" s="95"/>
      <c r="X127" s="95"/>
      <c r="Y127" s="95"/>
      <c r="Z127" s="95"/>
      <c r="AA127" s="95"/>
      <c r="AB127" s="95"/>
      <c r="AC127" s="95"/>
    </row>
    <row r="128" ht="15.75" customHeight="1" spans="1:29">
      <c r="A128" s="95"/>
      <c r="B128" s="95" t="str">
        <f>VLOOKUP(C128,lista_id!$D$2:$F$152,3,0)</f>
        <v>REGIONAL 5</v>
      </c>
      <c r="C128" s="102" t="str">
        <f>IFERROR(__xludf.DUMMYFUNCTION("""COMPUTED_VALUE"""),"CEMEI PROFESSORA LINDOMAR DOMINGOS DA SILVA ANJOS")</f>
        <v>CEMEI PROFESSORA LINDOMAR DOMINGOS DA SILVA ANJOS</v>
      </c>
      <c r="D128" s="95" t="str">
        <f>IFERROR(__xludf.DUMMYFUNCTION("""COMPUTED_VALUE"""),"INFANTIL 2")</f>
        <v>INFANTIL 2</v>
      </c>
      <c r="E128" s="95" t="str">
        <f>IFERROR(__xludf.DUMMYFUNCTION("""COMPUTED_VALUE"""),"Integral")</f>
        <v>Integral</v>
      </c>
      <c r="F128" s="95" t="str">
        <f>IFERROR(__xludf.DUMMYFUNCTION("""COMPUTED_VALUE"""),"Comum")</f>
        <v>Comum</v>
      </c>
      <c r="G128" s="95" t="str">
        <f>IFERROR(__xludf.DUMMYFUNCTION("""COMPUTED_VALUE"""),"31")</f>
        <v>31</v>
      </c>
      <c r="H128" s="95" t="str">
        <f>IFERROR(__xludf.DUMMYFUNCTION("""COMPUTED_VALUE"""),"26042982355")</f>
        <v>26042982355</v>
      </c>
      <c r="I128" s="103" t="str">
        <f>IFERROR(__xludf.DUMMYFUNCTION("""COMPUTED_VALUE"""),"25/04/2026 06:48:05")</f>
        <v>25/04/2026 06:48:05</v>
      </c>
      <c r="J128" s="95" t="str">
        <f>IFERROR(__xludf.DUMMYFUNCTION("""COMPUTED_VALUE"""),"CECÍLIA MORAES DE ABREU")</f>
        <v>CECÍLIA MORAES DE ABREU</v>
      </c>
      <c r="K128" s="95" t="str">
        <f>IFERROR(__xludf.DUMMYFUNCTION("""COMPUTED_VALUE"""),"000.222.764-91")</f>
        <v>000.222.764-91</v>
      </c>
      <c r="L128" s="104" t="str">
        <f>IFERROR(__xludf.DUMMYFUNCTION("""COMPUTED_VALUE"""),"23/09/2023")</f>
        <v>23/09/2023</v>
      </c>
      <c r="M128" s="104"/>
      <c r="N128" s="95" t="str">
        <f>IFERROR(__xludf.DUMMYFUNCTION("""COMPUTED_VALUE"""),"0")</f>
        <v>0</v>
      </c>
      <c r="O128" s="95"/>
      <c r="P128" s="95"/>
      <c r="Q128" s="95"/>
      <c r="R128" s="95"/>
      <c r="S128" s="95"/>
      <c r="T128" s="95"/>
      <c r="U128" s="95"/>
      <c r="V128" s="95"/>
      <c r="W128" s="95"/>
      <c r="X128" s="95"/>
      <c r="Y128" s="95"/>
      <c r="Z128" s="95"/>
      <c r="AA128" s="95"/>
      <c r="AB128" s="95"/>
      <c r="AC128" s="95"/>
    </row>
    <row r="129" ht="15.75" customHeight="1" spans="1:29">
      <c r="A129" s="95"/>
      <c r="B129" s="95" t="str">
        <f>VLOOKUP(C129,lista_id!$D$2:$F$152,3,0)</f>
        <v>REGIONAL 5</v>
      </c>
      <c r="C129" s="102" t="str">
        <f>IFERROR(__xludf.DUMMYFUNCTION("""COMPUTED_VALUE"""),"CEMEI PROFESSORA LINDOMAR DOMINGOS DA SILVA ANJOS")</f>
        <v>CEMEI PROFESSORA LINDOMAR DOMINGOS DA SILVA ANJOS</v>
      </c>
      <c r="D129" s="95" t="str">
        <f>IFERROR(__xludf.DUMMYFUNCTION("""COMPUTED_VALUE"""),"INFANTIL 3")</f>
        <v>INFANTIL 3</v>
      </c>
      <c r="E129" s="95" t="str">
        <f>IFERROR(__xludf.DUMMYFUNCTION("""COMPUTED_VALUE"""),"Integral")</f>
        <v>Integral</v>
      </c>
      <c r="F129" s="95" t="str">
        <f>IFERROR(__xludf.DUMMYFUNCTION("""COMPUTED_VALUE"""),"Comum")</f>
        <v>Comum</v>
      </c>
      <c r="G129" s="95" t="str">
        <f>IFERROR(__xludf.DUMMYFUNCTION("""COMPUTED_VALUE"""),"1")</f>
        <v>1</v>
      </c>
      <c r="H129" s="95" t="str">
        <f>IFERROR(__xludf.DUMMYFUNCTION("""COMPUTED_VALUE"""),"26012022643")</f>
        <v>26012022643</v>
      </c>
      <c r="I129" s="103" t="str">
        <f>IFERROR(__xludf.DUMMYFUNCTION("""COMPUTED_VALUE"""),"28/01/2026 08:09:51")</f>
        <v>28/01/2026 08:09:51</v>
      </c>
      <c r="J129" s="95" t="str">
        <f>IFERROR(__xludf.DUMMYFUNCTION("""COMPUTED_VALUE"""),"JÚLIA VITÓRIA MARTINS DA SILVA SANTOS")</f>
        <v>JÚLIA VITÓRIA MARTINS DA SILVA SANTOS</v>
      </c>
      <c r="K129" s="95" t="str">
        <f>IFERROR(__xludf.DUMMYFUNCTION("""COMPUTED_VALUE"""),"182.893.304-05")</f>
        <v>182.893.304-05</v>
      </c>
      <c r="L129" s="104" t="str">
        <f>IFERROR(__xludf.DUMMYFUNCTION("""COMPUTED_VALUE"""),"11/08/2022")</f>
        <v>11/08/2022</v>
      </c>
      <c r="M129" s="104"/>
      <c r="N129" s="95" t="str">
        <f>IFERROR(__xludf.DUMMYFUNCTION("""COMPUTED_VALUE"""),"0")</f>
        <v>0</v>
      </c>
      <c r="O129" s="95"/>
      <c r="P129" s="95"/>
      <c r="Q129" s="95"/>
      <c r="R129" s="95"/>
      <c r="S129" s="95"/>
      <c r="T129" s="95"/>
      <c r="U129" s="95"/>
      <c r="V129" s="95"/>
      <c r="W129" s="95"/>
      <c r="X129" s="95"/>
      <c r="Y129" s="95"/>
      <c r="Z129" s="95"/>
      <c r="AA129" s="95"/>
      <c r="AB129" s="95"/>
      <c r="AC129" s="95"/>
    </row>
    <row r="130" ht="15.75" customHeight="1" spans="1:29">
      <c r="A130" s="95"/>
      <c r="B130" s="95" t="str">
        <f>VLOOKUP(C130,lista_id!$D$2:$F$152,3,0)</f>
        <v>REGIONAL 5</v>
      </c>
      <c r="C130" s="102" t="str">
        <f>IFERROR(__xludf.DUMMYFUNCTION("""COMPUTED_VALUE"""),"CEMEI PROFESSORA LINDOMAR DOMINGOS DA SILVA ANJOS")</f>
        <v>CEMEI PROFESSORA LINDOMAR DOMINGOS DA SILVA ANJOS</v>
      </c>
      <c r="D130" s="95" t="str">
        <f>IFERROR(__xludf.DUMMYFUNCTION("""COMPUTED_VALUE"""),"INFANTIL 3")</f>
        <v>INFANTIL 3</v>
      </c>
      <c r="E130" s="95" t="str">
        <f>IFERROR(__xludf.DUMMYFUNCTION("""COMPUTED_VALUE"""),"Integral")</f>
        <v>Integral</v>
      </c>
      <c r="F130" s="95" t="str">
        <f>IFERROR(__xludf.DUMMYFUNCTION("""COMPUTED_VALUE"""),"Comum")</f>
        <v>Comum</v>
      </c>
      <c r="G130" s="95" t="str">
        <f>IFERROR(__xludf.DUMMYFUNCTION("""COMPUTED_VALUE"""),"2")</f>
        <v>2</v>
      </c>
      <c r="H130" s="95" t="str">
        <f>IFERROR(__xludf.DUMMYFUNCTION("""COMPUTED_VALUE"""),"26012216145")</f>
        <v>26012216145</v>
      </c>
      <c r="I130" s="103" t="str">
        <f>IFERROR(__xludf.DUMMYFUNCTION("""COMPUTED_VALUE"""),"28/01/2026 08:18:50")</f>
        <v>28/01/2026 08:18:50</v>
      </c>
      <c r="J130" s="95" t="str">
        <f>IFERROR(__xludf.DUMMYFUNCTION("""COMPUTED_VALUE"""),"THOMAS SHELBY ALMEIDA SANTOS")</f>
        <v>THOMAS SHELBY ALMEIDA SANTOS</v>
      </c>
      <c r="K130" s="95" t="str">
        <f>IFERROR(__xludf.DUMMYFUNCTION("""COMPUTED_VALUE"""),"182.095.624-52")</f>
        <v>182.095.624-52</v>
      </c>
      <c r="L130" s="104" t="str">
        <f>IFERROR(__xludf.DUMMYFUNCTION("""COMPUTED_VALUE"""),"25/06/2022")</f>
        <v>25/06/2022</v>
      </c>
      <c r="M130" s="104"/>
      <c r="N130" s="95" t="str">
        <f>IFERROR(__xludf.DUMMYFUNCTION("""COMPUTED_VALUE"""),"0")</f>
        <v>0</v>
      </c>
      <c r="O130" s="95"/>
      <c r="P130" s="95"/>
      <c r="Q130" s="95"/>
      <c r="R130" s="95"/>
      <c r="S130" s="95"/>
      <c r="T130" s="95"/>
      <c r="U130" s="95"/>
      <c r="V130" s="95"/>
      <c r="W130" s="95"/>
      <c r="X130" s="95"/>
      <c r="Y130" s="95"/>
      <c r="Z130" s="95"/>
      <c r="AA130" s="95"/>
      <c r="AB130" s="95"/>
      <c r="AC130" s="95"/>
    </row>
    <row r="131" ht="15.75" customHeight="1" spans="1:29">
      <c r="A131" s="95"/>
      <c r="B131" s="95" t="str">
        <f>VLOOKUP(C131,lista_id!$D$2:$F$152,3,0)</f>
        <v>REGIONAL 5</v>
      </c>
      <c r="C131" s="102" t="str">
        <f>IFERROR(__xludf.DUMMYFUNCTION("""COMPUTED_VALUE"""),"CEMEI PROFESSORA LINDOMAR DOMINGOS DA SILVA ANJOS")</f>
        <v>CEMEI PROFESSORA LINDOMAR DOMINGOS DA SILVA ANJOS</v>
      </c>
      <c r="D131" s="95" t="str">
        <f>IFERROR(__xludf.DUMMYFUNCTION("""COMPUTED_VALUE"""),"INFANTIL 3")</f>
        <v>INFANTIL 3</v>
      </c>
      <c r="E131" s="95" t="str">
        <f>IFERROR(__xludf.DUMMYFUNCTION("""COMPUTED_VALUE"""),"Integral")</f>
        <v>Integral</v>
      </c>
      <c r="F131" s="95" t="str">
        <f>IFERROR(__xludf.DUMMYFUNCTION("""COMPUTED_VALUE"""),"Comum")</f>
        <v>Comum</v>
      </c>
      <c r="G131" s="95" t="str">
        <f>IFERROR(__xludf.DUMMYFUNCTION("""COMPUTED_VALUE"""),"3")</f>
        <v>3</v>
      </c>
      <c r="H131" s="95" t="str">
        <f>IFERROR(__xludf.DUMMYFUNCTION("""COMPUTED_VALUE"""),"26012502365")</f>
        <v>26012502365</v>
      </c>
      <c r="I131" s="103" t="str">
        <f>IFERROR(__xludf.DUMMYFUNCTION("""COMPUTED_VALUE"""),"28/01/2026 08:24:51")</f>
        <v>28/01/2026 08:24:51</v>
      </c>
      <c r="J131" s="95" t="str">
        <f>IFERROR(__xludf.DUMMYFUNCTION("""COMPUTED_VALUE"""),"KEVIN LUCAS VITORINO DA SILVA")</f>
        <v>KEVIN LUCAS VITORINO DA SILVA</v>
      </c>
      <c r="K131" s="95" t="str">
        <f>IFERROR(__xludf.DUMMYFUNCTION("""COMPUTED_VALUE"""),"184.272.764-86")</f>
        <v>184.272.764-86</v>
      </c>
      <c r="L131" s="104" t="str">
        <f>IFERROR(__xludf.DUMMYFUNCTION("""COMPUTED_VALUE"""),"14/01/2023")</f>
        <v>14/01/2023</v>
      </c>
      <c r="M131" s="104"/>
      <c r="N131" s="95" t="str">
        <f>IFERROR(__xludf.DUMMYFUNCTION("""COMPUTED_VALUE"""),"0")</f>
        <v>0</v>
      </c>
      <c r="O131" s="95"/>
      <c r="P131" s="95"/>
      <c r="Q131" s="95"/>
      <c r="R131" s="95"/>
      <c r="S131" s="95"/>
      <c r="T131" s="95"/>
      <c r="U131" s="95"/>
      <c r="V131" s="95"/>
      <c r="W131" s="95"/>
      <c r="X131" s="95"/>
      <c r="Y131" s="95"/>
      <c r="Z131" s="95"/>
      <c r="AA131" s="95"/>
      <c r="AB131" s="95"/>
      <c r="AC131" s="95"/>
    </row>
    <row r="132" ht="15.75" customHeight="1" spans="1:29">
      <c r="A132" s="95"/>
      <c r="B132" s="95" t="str">
        <f>VLOOKUP(C132,lista_id!$D$2:$F$152,3,0)</f>
        <v>REGIONAL 5</v>
      </c>
      <c r="C132" s="102" t="str">
        <f>IFERROR(__xludf.DUMMYFUNCTION("""COMPUTED_VALUE"""),"CEMEI PROFESSORA LINDOMAR DOMINGOS DA SILVA ANJOS")</f>
        <v>CEMEI PROFESSORA LINDOMAR DOMINGOS DA SILVA ANJOS</v>
      </c>
      <c r="D132" s="95" t="str">
        <f>IFERROR(__xludf.DUMMYFUNCTION("""COMPUTED_VALUE"""),"INFANTIL 3")</f>
        <v>INFANTIL 3</v>
      </c>
      <c r="E132" s="95" t="str">
        <f>IFERROR(__xludf.DUMMYFUNCTION("""COMPUTED_VALUE"""),"Integral")</f>
        <v>Integral</v>
      </c>
      <c r="F132" s="95" t="str">
        <f>IFERROR(__xludf.DUMMYFUNCTION("""COMPUTED_VALUE"""),"Comum")</f>
        <v>Comum</v>
      </c>
      <c r="G132" s="95" t="str">
        <f>IFERROR(__xludf.DUMMYFUNCTION("""COMPUTED_VALUE"""),"4")</f>
        <v>4</v>
      </c>
      <c r="H132" s="95" t="str">
        <f>IFERROR(__xludf.DUMMYFUNCTION("""COMPUTED_VALUE"""),"26012447370")</f>
        <v>26012447370</v>
      </c>
      <c r="I132" s="103" t="str">
        <f>IFERROR(__xludf.DUMMYFUNCTION("""COMPUTED_VALUE"""),"28/01/2026 08:40:24")</f>
        <v>28/01/2026 08:40:24</v>
      </c>
      <c r="J132" s="95" t="str">
        <f>IFERROR(__xludf.DUMMYFUNCTION("""COMPUTED_VALUE"""),"ARTHUR HENRIQUE DE OLIVEIRA SOUZA")</f>
        <v>ARTHUR HENRIQUE DE OLIVEIRA SOUZA</v>
      </c>
      <c r="K132" s="95" t="str">
        <f>IFERROR(__xludf.DUMMYFUNCTION("""COMPUTED_VALUE"""),"181.683.934-57")</f>
        <v>181.683.934-57</v>
      </c>
      <c r="L132" s="106" t="str">
        <f>IFERROR(__xludf.DUMMYFUNCTION("""COMPUTED_VALUE"""),"16/05/2022")</f>
        <v>16/05/2022</v>
      </c>
      <c r="M132" s="106"/>
      <c r="N132" s="95" t="str">
        <f>IFERROR(__xludf.DUMMYFUNCTION("""COMPUTED_VALUE"""),"0")</f>
        <v>0</v>
      </c>
      <c r="O132" s="95"/>
      <c r="P132" s="95"/>
      <c r="Q132" s="95"/>
      <c r="R132" s="95"/>
      <c r="S132" s="95"/>
      <c r="T132" s="95"/>
      <c r="U132" s="95"/>
      <c r="V132" s="95"/>
      <c r="W132" s="95"/>
      <c r="X132" s="95"/>
      <c r="Y132" s="95"/>
      <c r="Z132" s="95"/>
      <c r="AA132" s="95"/>
      <c r="AB132" s="95"/>
      <c r="AC132" s="95"/>
    </row>
    <row r="133" ht="15.75" customHeight="1" spans="1:29">
      <c r="A133" s="95"/>
      <c r="B133" s="95" t="str">
        <f>VLOOKUP(C133,lista_id!$D$2:$F$152,3,0)</f>
        <v>REGIONAL 5</v>
      </c>
      <c r="C133" s="102" t="str">
        <f>IFERROR(__xludf.DUMMYFUNCTION("""COMPUTED_VALUE"""),"CEMEI PROFESSORA LINDOMAR DOMINGOS DA SILVA ANJOS")</f>
        <v>CEMEI PROFESSORA LINDOMAR DOMINGOS DA SILVA ANJOS</v>
      </c>
      <c r="D133" s="95" t="str">
        <f>IFERROR(__xludf.DUMMYFUNCTION("""COMPUTED_VALUE"""),"INFANTIL 3")</f>
        <v>INFANTIL 3</v>
      </c>
      <c r="E133" s="95" t="str">
        <f>IFERROR(__xludf.DUMMYFUNCTION("""COMPUTED_VALUE"""),"Integral")</f>
        <v>Integral</v>
      </c>
      <c r="F133" s="95" t="str">
        <f>IFERROR(__xludf.DUMMYFUNCTION("""COMPUTED_VALUE"""),"Comum")</f>
        <v>Comum</v>
      </c>
      <c r="G133" s="95" t="str">
        <f>IFERROR(__xludf.DUMMYFUNCTION("""COMPUTED_VALUE"""),"5")</f>
        <v>5</v>
      </c>
      <c r="H133" s="95" t="str">
        <f>IFERROR(__xludf.DUMMYFUNCTION("""COMPUTED_VALUE"""),"26012377730")</f>
        <v>26012377730</v>
      </c>
      <c r="I133" s="103" t="str">
        <f>IFERROR(__xludf.DUMMYFUNCTION("""COMPUTED_VALUE"""),"28/01/2026 08:49:30")</f>
        <v>28/01/2026 08:49:30</v>
      </c>
      <c r="J133" s="95" t="str">
        <f>IFERROR(__xludf.DUMMYFUNCTION("""COMPUTED_VALUE"""),"JOAQUIM BRAZ SOARES DA SILVA")</f>
        <v>JOAQUIM BRAZ SOARES DA SILVA</v>
      </c>
      <c r="K133" s="95" t="str">
        <f>IFERROR(__xludf.DUMMYFUNCTION("""COMPUTED_VALUE"""),"184.957.744-70")</f>
        <v>184.957.744-70</v>
      </c>
      <c r="L133" s="104" t="str">
        <f>IFERROR(__xludf.DUMMYFUNCTION("""COMPUTED_VALUE"""),"06/03/2023")</f>
        <v>06/03/2023</v>
      </c>
      <c r="M133" s="104"/>
      <c r="N133" s="95" t="str">
        <f>IFERROR(__xludf.DUMMYFUNCTION("""COMPUTED_VALUE"""),"0")</f>
        <v>0</v>
      </c>
      <c r="O133" s="95"/>
      <c r="P133" s="95"/>
      <c r="Q133" s="95"/>
      <c r="R133" s="95"/>
      <c r="S133" s="95"/>
      <c r="T133" s="95"/>
      <c r="U133" s="95"/>
      <c r="V133" s="95"/>
      <c r="W133" s="95"/>
      <c r="X133" s="95"/>
      <c r="Y133" s="95"/>
      <c r="Z133" s="95"/>
      <c r="AA133" s="95"/>
      <c r="AB133" s="95"/>
      <c r="AC133" s="95"/>
    </row>
    <row r="134" ht="15.75" customHeight="1" spans="1:29">
      <c r="A134" s="95"/>
      <c r="B134" s="95" t="str">
        <f>VLOOKUP(C134,lista_id!$D$2:$F$152,3,0)</f>
        <v>REGIONAL 5</v>
      </c>
      <c r="C134" s="102" t="str">
        <f>IFERROR(__xludf.DUMMYFUNCTION("""COMPUTED_VALUE"""),"CEMEI PROFESSORA LINDOMAR DOMINGOS DA SILVA ANJOS")</f>
        <v>CEMEI PROFESSORA LINDOMAR DOMINGOS DA SILVA ANJOS</v>
      </c>
      <c r="D134" s="95" t="str">
        <f>IFERROR(__xludf.DUMMYFUNCTION("""COMPUTED_VALUE"""),"INFANTIL 3")</f>
        <v>INFANTIL 3</v>
      </c>
      <c r="E134" s="95" t="str">
        <f>IFERROR(__xludf.DUMMYFUNCTION("""COMPUTED_VALUE"""),"Integral")</f>
        <v>Integral</v>
      </c>
      <c r="F134" s="95" t="str">
        <f>IFERROR(__xludf.DUMMYFUNCTION("""COMPUTED_VALUE"""),"Comum")</f>
        <v>Comum</v>
      </c>
      <c r="G134" s="95" t="str">
        <f>IFERROR(__xludf.DUMMYFUNCTION("""COMPUTED_VALUE"""),"6")</f>
        <v>6</v>
      </c>
      <c r="H134" s="95" t="str">
        <f>IFERROR(__xludf.DUMMYFUNCTION("""COMPUTED_VALUE"""),"26012255382")</f>
        <v>26012255382</v>
      </c>
      <c r="I134" s="103" t="str">
        <f>IFERROR(__xludf.DUMMYFUNCTION("""COMPUTED_VALUE"""),"28/01/2026 10:50:39")</f>
        <v>28/01/2026 10:50:39</v>
      </c>
      <c r="J134" s="95" t="str">
        <f>IFERROR(__xludf.DUMMYFUNCTION("""COMPUTED_VALUE"""),"GAELL SILVA RAMOS")</f>
        <v>GAELL SILVA RAMOS</v>
      </c>
      <c r="K134" s="95" t="str">
        <f>IFERROR(__xludf.DUMMYFUNCTION("""COMPUTED_VALUE"""),"181.246.604-84")</f>
        <v>181.246.604-84</v>
      </c>
      <c r="L134" s="104" t="str">
        <f>IFERROR(__xludf.DUMMYFUNCTION("""COMPUTED_VALUE"""),"14/04/2022")</f>
        <v>14/04/2022</v>
      </c>
      <c r="M134" s="104"/>
      <c r="N134" s="95" t="str">
        <f>IFERROR(__xludf.DUMMYFUNCTION("""COMPUTED_VALUE"""),"0")</f>
        <v>0</v>
      </c>
      <c r="O134" s="95"/>
      <c r="P134" s="95"/>
      <c r="Q134" s="95"/>
      <c r="R134" s="95"/>
      <c r="S134" s="95"/>
      <c r="T134" s="95"/>
      <c r="U134" s="95"/>
      <c r="V134" s="95"/>
      <c r="W134" s="95"/>
      <c r="X134" s="95"/>
      <c r="Y134" s="95"/>
      <c r="Z134" s="95"/>
      <c r="AA134" s="95"/>
      <c r="AB134" s="95"/>
      <c r="AC134" s="95"/>
    </row>
    <row r="135" ht="15.75" customHeight="1" spans="1:29">
      <c r="A135" s="95"/>
      <c r="B135" s="95" t="str">
        <f>VLOOKUP(C135,lista_id!$D$2:$F$152,3,0)</f>
        <v>REGIONAL 5</v>
      </c>
      <c r="C135" s="102" t="str">
        <f>IFERROR(__xludf.DUMMYFUNCTION("""COMPUTED_VALUE"""),"CEMEI PROFESSORA LINDOMAR DOMINGOS DA SILVA ANJOS")</f>
        <v>CEMEI PROFESSORA LINDOMAR DOMINGOS DA SILVA ANJOS</v>
      </c>
      <c r="D135" s="95" t="str">
        <f>IFERROR(__xludf.DUMMYFUNCTION("""COMPUTED_VALUE"""),"INFANTIL 3")</f>
        <v>INFANTIL 3</v>
      </c>
      <c r="E135" s="95" t="str">
        <f>IFERROR(__xludf.DUMMYFUNCTION("""COMPUTED_VALUE"""),"Integral")</f>
        <v>Integral</v>
      </c>
      <c r="F135" s="95" t="str">
        <f>IFERROR(__xludf.DUMMYFUNCTION("""COMPUTED_VALUE"""),"Comum")</f>
        <v>Comum</v>
      </c>
      <c r="G135" s="95" t="str">
        <f>IFERROR(__xludf.DUMMYFUNCTION("""COMPUTED_VALUE"""),"7")</f>
        <v>7</v>
      </c>
      <c r="H135" s="95" t="str">
        <f>IFERROR(__xludf.DUMMYFUNCTION("""COMPUTED_VALUE"""),"26012021235")</f>
        <v>26012021235</v>
      </c>
      <c r="I135" s="103" t="str">
        <f>IFERROR(__xludf.DUMMYFUNCTION("""COMPUTED_VALUE"""),"28/01/2026 15:27:57")</f>
        <v>28/01/2026 15:27:57</v>
      </c>
      <c r="J135" s="95" t="str">
        <f>IFERROR(__xludf.DUMMYFUNCTION("""COMPUTED_VALUE"""),"ANTHONY BENJAMIM NASCIMENTO DA SILVA")</f>
        <v>ANTHONY BENJAMIM NASCIMENTO DA SILVA</v>
      </c>
      <c r="K135" s="95" t="str">
        <f>IFERROR(__xludf.DUMMYFUNCTION("""COMPUTED_VALUE"""),"181.296.554-03")</f>
        <v>181.296.554-03</v>
      </c>
      <c r="L135" s="104" t="str">
        <f>IFERROR(__xludf.DUMMYFUNCTION("""COMPUTED_VALUE"""),"19/04/2022")</f>
        <v>19/04/2022</v>
      </c>
      <c r="M135" s="104"/>
      <c r="N135" s="95" t="str">
        <f>IFERROR(__xludf.DUMMYFUNCTION("""COMPUTED_VALUE"""),"0")</f>
        <v>0</v>
      </c>
      <c r="O135" s="95"/>
      <c r="P135" s="95"/>
      <c r="Q135" s="95"/>
      <c r="R135" s="95"/>
      <c r="S135" s="95"/>
      <c r="T135" s="95"/>
      <c r="U135" s="95"/>
      <c r="V135" s="95"/>
      <c r="W135" s="95"/>
      <c r="X135" s="95"/>
      <c r="Y135" s="95"/>
      <c r="Z135" s="95"/>
      <c r="AA135" s="95"/>
      <c r="AB135" s="95"/>
      <c r="AC135" s="95"/>
    </row>
    <row r="136" ht="15.75" customHeight="1" spans="1:29">
      <c r="A136" s="95"/>
      <c r="B136" s="95" t="str">
        <f>VLOOKUP(C136,lista_id!$D$2:$F$152,3,0)</f>
        <v>REGIONAL 5</v>
      </c>
      <c r="C136" s="102" t="str">
        <f>IFERROR(__xludf.DUMMYFUNCTION("""COMPUTED_VALUE"""),"CEMEI PROFESSORA LINDOMAR DOMINGOS DA SILVA ANJOS")</f>
        <v>CEMEI PROFESSORA LINDOMAR DOMINGOS DA SILVA ANJOS</v>
      </c>
      <c r="D136" s="95" t="str">
        <f>IFERROR(__xludf.DUMMYFUNCTION("""COMPUTED_VALUE"""),"INFANTIL 3")</f>
        <v>INFANTIL 3</v>
      </c>
      <c r="E136" s="95" t="str">
        <f>IFERROR(__xludf.DUMMYFUNCTION("""COMPUTED_VALUE"""),"Integral")</f>
        <v>Integral</v>
      </c>
      <c r="F136" s="95" t="str">
        <f>IFERROR(__xludf.DUMMYFUNCTION("""COMPUTED_VALUE"""),"Comum")</f>
        <v>Comum</v>
      </c>
      <c r="G136" s="95" t="str">
        <f>IFERROR(__xludf.DUMMYFUNCTION("""COMPUTED_VALUE"""),"8")</f>
        <v>8</v>
      </c>
      <c r="H136" s="95" t="str">
        <f>IFERROR(__xludf.DUMMYFUNCTION("""COMPUTED_VALUE"""),"26012578280")</f>
        <v>26012578280</v>
      </c>
      <c r="I136" s="103" t="str">
        <f>IFERROR(__xludf.DUMMYFUNCTION("""COMPUTED_VALUE"""),"28/01/2026 16:26:14")</f>
        <v>28/01/2026 16:26:14</v>
      </c>
      <c r="J136" s="95" t="str">
        <f>IFERROR(__xludf.DUMMYFUNCTION("""COMPUTED_VALUE"""),"ANTHONY TALISSON SANTOS DA SILVA")</f>
        <v>ANTHONY TALISSON SANTOS DA SILVA</v>
      </c>
      <c r="K136" s="95" t="str">
        <f>IFERROR(__xludf.DUMMYFUNCTION("""COMPUTED_VALUE"""),"184.039.494-30")</f>
        <v>184.039.494-30</v>
      </c>
      <c r="L136" s="104" t="str">
        <f>IFERROR(__xludf.DUMMYFUNCTION("""COMPUTED_VALUE"""),"13/12/2022")</f>
        <v>13/12/2022</v>
      </c>
      <c r="M136" s="104"/>
      <c r="N136" s="95" t="str">
        <f>IFERROR(__xludf.DUMMYFUNCTION("""COMPUTED_VALUE"""),"0")</f>
        <v>0</v>
      </c>
      <c r="O136" s="95"/>
      <c r="P136" s="95"/>
      <c r="Q136" s="95"/>
      <c r="R136" s="95"/>
      <c r="S136" s="95"/>
      <c r="T136" s="95"/>
      <c r="U136" s="95"/>
      <c r="V136" s="95"/>
      <c r="W136" s="95"/>
      <c r="X136" s="95"/>
      <c r="Y136" s="95"/>
      <c r="Z136" s="95"/>
      <c r="AA136" s="95"/>
      <c r="AB136" s="95"/>
      <c r="AC136" s="95"/>
    </row>
    <row r="137" ht="15.75" customHeight="1" spans="1:29">
      <c r="A137" s="95"/>
      <c r="B137" s="95" t="str">
        <f>VLOOKUP(C137,lista_id!$D$2:$F$152,3,0)</f>
        <v>REGIONAL 5</v>
      </c>
      <c r="C137" s="102" t="str">
        <f>IFERROR(__xludf.DUMMYFUNCTION("""COMPUTED_VALUE"""),"CEMEI PROFESSORA LINDOMAR DOMINGOS DA SILVA ANJOS")</f>
        <v>CEMEI PROFESSORA LINDOMAR DOMINGOS DA SILVA ANJOS</v>
      </c>
      <c r="D137" s="95" t="str">
        <f>IFERROR(__xludf.DUMMYFUNCTION("""COMPUTED_VALUE"""),"INFANTIL 3")</f>
        <v>INFANTIL 3</v>
      </c>
      <c r="E137" s="95" t="str">
        <f>IFERROR(__xludf.DUMMYFUNCTION("""COMPUTED_VALUE"""),"Integral")</f>
        <v>Integral</v>
      </c>
      <c r="F137" s="95" t="str">
        <f>IFERROR(__xludf.DUMMYFUNCTION("""COMPUTED_VALUE"""),"Comum")</f>
        <v>Comum</v>
      </c>
      <c r="G137" s="95" t="str">
        <f>IFERROR(__xludf.DUMMYFUNCTION("""COMPUTED_VALUE"""),"9")</f>
        <v>9</v>
      </c>
      <c r="H137" s="95" t="str">
        <f>IFERROR(__xludf.DUMMYFUNCTION("""COMPUTED_VALUE"""),"26012369873")</f>
        <v>26012369873</v>
      </c>
      <c r="I137" s="103" t="str">
        <f>IFERROR(__xludf.DUMMYFUNCTION("""COMPUTED_VALUE"""),"28/01/2026 22:31:23")</f>
        <v>28/01/2026 22:31:23</v>
      </c>
      <c r="J137" s="95" t="str">
        <f>IFERROR(__xludf.DUMMYFUNCTION("""COMPUTED_VALUE"""),"LUCAS MIGUEL DA HORA SILVA")</f>
        <v>LUCAS MIGUEL DA HORA SILVA</v>
      </c>
      <c r="K137" s="95" t="str">
        <f>IFERROR(__xludf.DUMMYFUNCTION("""COMPUTED_VALUE"""),"184.174.244-90")</f>
        <v>184.174.244-90</v>
      </c>
      <c r="L137" s="104" t="str">
        <f>IFERROR(__xludf.DUMMYFUNCTION("""COMPUTED_VALUE"""),"26/12/2022")</f>
        <v>26/12/2022</v>
      </c>
      <c r="M137" s="106"/>
      <c r="N137" s="95" t="str">
        <f>IFERROR(__xludf.DUMMYFUNCTION("""COMPUTED_VALUE"""),"0")</f>
        <v>0</v>
      </c>
      <c r="O137" s="95"/>
      <c r="P137" s="95"/>
      <c r="Q137" s="95"/>
      <c r="R137" s="95"/>
      <c r="S137" s="95"/>
      <c r="T137" s="95"/>
      <c r="U137" s="95"/>
      <c r="V137" s="95"/>
      <c r="W137" s="95"/>
      <c r="X137" s="95"/>
      <c r="Y137" s="95"/>
      <c r="Z137" s="95"/>
      <c r="AA137" s="95"/>
      <c r="AB137" s="95"/>
      <c r="AC137" s="95"/>
    </row>
    <row r="138" ht="15.75" customHeight="1" spans="1:29">
      <c r="A138" s="95"/>
      <c r="B138" s="95" t="str">
        <f>VLOOKUP(C138,lista_id!$D$2:$F$152,3,0)</f>
        <v>REGIONAL 5</v>
      </c>
      <c r="C138" s="102" t="str">
        <f>IFERROR(__xludf.DUMMYFUNCTION("""COMPUTED_VALUE"""),"CEMEI PROFESSORA LINDOMAR DOMINGOS DA SILVA ANJOS")</f>
        <v>CEMEI PROFESSORA LINDOMAR DOMINGOS DA SILVA ANJOS</v>
      </c>
      <c r="D138" s="95" t="str">
        <f>IFERROR(__xludf.DUMMYFUNCTION("""COMPUTED_VALUE"""),"INFANTIL 3")</f>
        <v>INFANTIL 3</v>
      </c>
      <c r="E138" s="95" t="str">
        <f>IFERROR(__xludf.DUMMYFUNCTION("""COMPUTED_VALUE"""),"Integral")</f>
        <v>Integral</v>
      </c>
      <c r="F138" s="95" t="str">
        <f>IFERROR(__xludf.DUMMYFUNCTION("""COMPUTED_VALUE"""),"Comum")</f>
        <v>Comum</v>
      </c>
      <c r="G138" s="95" t="str">
        <f>IFERROR(__xludf.DUMMYFUNCTION("""COMPUTED_VALUE"""),"10")</f>
        <v>10</v>
      </c>
      <c r="H138" s="95" t="str">
        <f>IFERROR(__xludf.DUMMYFUNCTION("""COMPUTED_VALUE"""),"26012235051")</f>
        <v>26012235051</v>
      </c>
      <c r="I138" s="103" t="str">
        <f>IFERROR(__xludf.DUMMYFUNCTION("""COMPUTED_VALUE"""),"29/01/2026 13:04:58")</f>
        <v>29/01/2026 13:04:58</v>
      </c>
      <c r="J138" s="95" t="str">
        <f>IFERROR(__xludf.DUMMYFUNCTION("""COMPUTED_VALUE"""),"GAEL ALVES GONÇALO DA SILVA")</f>
        <v>GAEL ALVES GONÇALO DA SILVA</v>
      </c>
      <c r="K138" s="95" t="str">
        <f>IFERROR(__xludf.DUMMYFUNCTION("""COMPUTED_VALUE"""),"184.739.754-99")</f>
        <v>184.739.754-99</v>
      </c>
      <c r="L138" s="104" t="str">
        <f>IFERROR(__xludf.DUMMYFUNCTION("""COMPUTED_VALUE"""),"19/02/2023")</f>
        <v>19/02/2023</v>
      </c>
      <c r="M138" s="104"/>
      <c r="N138" s="95" t="str">
        <f>IFERROR(__xludf.DUMMYFUNCTION("""COMPUTED_VALUE"""),"0")</f>
        <v>0</v>
      </c>
      <c r="O138" s="95"/>
      <c r="P138" s="95"/>
      <c r="Q138" s="95"/>
      <c r="R138" s="95"/>
      <c r="S138" s="95"/>
      <c r="T138" s="95"/>
      <c r="U138" s="95"/>
      <c r="V138" s="95"/>
      <c r="W138" s="95"/>
      <c r="X138" s="95"/>
      <c r="Y138" s="95"/>
      <c r="Z138" s="95"/>
      <c r="AA138" s="95"/>
      <c r="AB138" s="95"/>
      <c r="AC138" s="95"/>
    </row>
    <row r="139" ht="15.75" customHeight="1" spans="1:29">
      <c r="A139" s="95"/>
      <c r="B139" s="95" t="str">
        <f>VLOOKUP(C139,lista_id!$D$2:$F$152,3,0)</f>
        <v>REGIONAL 5</v>
      </c>
      <c r="C139" s="102" t="str">
        <f>IFERROR(__xludf.DUMMYFUNCTION("""COMPUTED_VALUE"""),"CEMEI PROFESSORA LINDOMAR DOMINGOS DA SILVA ANJOS")</f>
        <v>CEMEI PROFESSORA LINDOMAR DOMINGOS DA SILVA ANJOS</v>
      </c>
      <c r="D139" s="95" t="str">
        <f>IFERROR(__xludf.DUMMYFUNCTION("""COMPUTED_VALUE"""),"INFANTIL 3")</f>
        <v>INFANTIL 3</v>
      </c>
      <c r="E139" s="95" t="str">
        <f>IFERROR(__xludf.DUMMYFUNCTION("""COMPUTED_VALUE"""),"Integral")</f>
        <v>Integral</v>
      </c>
      <c r="F139" s="95" t="str">
        <f>IFERROR(__xludf.DUMMYFUNCTION("""COMPUTED_VALUE"""),"Comum")</f>
        <v>Comum</v>
      </c>
      <c r="G139" s="95" t="str">
        <f>IFERROR(__xludf.DUMMYFUNCTION("""COMPUTED_VALUE"""),"11")</f>
        <v>11</v>
      </c>
      <c r="H139" s="95" t="str">
        <f>IFERROR(__xludf.DUMMYFUNCTION("""COMPUTED_VALUE"""),"26012451961")</f>
        <v>26012451961</v>
      </c>
      <c r="I139" s="103" t="str">
        <f>IFERROR(__xludf.DUMMYFUNCTION("""COMPUTED_VALUE"""),"29/01/2026 14:26:01")</f>
        <v>29/01/2026 14:26:01</v>
      </c>
      <c r="J139" s="95" t="str">
        <f>IFERROR(__xludf.DUMMYFUNCTION("""COMPUTED_VALUE"""),"ISAAC MIGUEL COUTINHO GENESE")</f>
        <v>ISAAC MIGUEL COUTINHO GENESE</v>
      </c>
      <c r="K139" s="95" t="str">
        <f>IFERROR(__xludf.DUMMYFUNCTION("""COMPUTED_VALUE"""),"185.887.974-45")</f>
        <v>185.887.974-45</v>
      </c>
      <c r="L139" s="104" t="str">
        <f>IFERROR(__xludf.DUMMYFUNCTION("""COMPUTED_VALUE"""),"18/02/2023")</f>
        <v>18/02/2023</v>
      </c>
      <c r="M139" s="104"/>
      <c r="N139" s="95" t="str">
        <f>IFERROR(__xludf.DUMMYFUNCTION("""COMPUTED_VALUE"""),"0")</f>
        <v>0</v>
      </c>
      <c r="O139" s="95"/>
      <c r="P139" s="95"/>
      <c r="Q139" s="95"/>
      <c r="R139" s="95"/>
      <c r="S139" s="95"/>
      <c r="T139" s="95"/>
      <c r="U139" s="95"/>
      <c r="V139" s="95"/>
      <c r="W139" s="95"/>
      <c r="X139" s="95"/>
      <c r="Y139" s="95"/>
      <c r="Z139" s="95"/>
      <c r="AA139" s="95"/>
      <c r="AB139" s="95"/>
      <c r="AC139" s="95"/>
    </row>
    <row r="140" ht="15.75" customHeight="1" spans="1:29">
      <c r="A140" s="95"/>
      <c r="B140" s="95" t="str">
        <f>VLOOKUP(C140,lista_id!$D$2:$F$152,3,0)</f>
        <v>REGIONAL 5</v>
      </c>
      <c r="C140" s="102" t="str">
        <f>IFERROR(__xludf.DUMMYFUNCTION("""COMPUTED_VALUE"""),"CEMEI PROFESSORA LINDOMAR DOMINGOS DA SILVA ANJOS")</f>
        <v>CEMEI PROFESSORA LINDOMAR DOMINGOS DA SILVA ANJOS</v>
      </c>
      <c r="D140" s="95" t="str">
        <f>IFERROR(__xludf.DUMMYFUNCTION("""COMPUTED_VALUE"""),"INFANTIL 3")</f>
        <v>INFANTIL 3</v>
      </c>
      <c r="E140" s="95" t="str">
        <f>IFERROR(__xludf.DUMMYFUNCTION("""COMPUTED_VALUE"""),"Integral")</f>
        <v>Integral</v>
      </c>
      <c r="F140" s="95" t="str">
        <f>IFERROR(__xludf.DUMMYFUNCTION("""COMPUTED_VALUE"""),"Comum")</f>
        <v>Comum</v>
      </c>
      <c r="G140" s="95" t="str">
        <f>IFERROR(__xludf.DUMMYFUNCTION("""COMPUTED_VALUE"""),"12")</f>
        <v>12</v>
      </c>
      <c r="H140" s="95" t="str">
        <f>IFERROR(__xludf.DUMMYFUNCTION("""COMPUTED_VALUE"""),"26022800688")</f>
        <v>26022800688</v>
      </c>
      <c r="I140" s="103" t="str">
        <f>IFERROR(__xludf.DUMMYFUNCTION("""COMPUTED_VALUE"""),"01/02/2026 17:23:13")</f>
        <v>01/02/2026 17:23:13</v>
      </c>
      <c r="J140" s="95" t="str">
        <f>IFERROR(__xludf.DUMMYFUNCTION("""COMPUTED_VALUE"""),"TAYARA HELENA GOMES DA SILVA")</f>
        <v>TAYARA HELENA GOMES DA SILVA</v>
      </c>
      <c r="K140" s="95" t="str">
        <f>IFERROR(__xludf.DUMMYFUNCTION("""COMPUTED_VALUE"""),"182.480.944-13")</f>
        <v>182.480.944-13</v>
      </c>
      <c r="L140" s="106" t="str">
        <f>IFERROR(__xludf.DUMMYFUNCTION("""COMPUTED_VALUE"""),"18/07/2022")</f>
        <v>18/07/2022</v>
      </c>
      <c r="M140" s="106"/>
      <c r="N140" s="95" t="str">
        <f>IFERROR(__xludf.DUMMYFUNCTION("""COMPUTED_VALUE"""),"0")</f>
        <v>0</v>
      </c>
      <c r="O140" s="95"/>
      <c r="P140" s="95"/>
      <c r="Q140" s="95"/>
      <c r="R140" s="95"/>
      <c r="S140" s="95"/>
      <c r="T140" s="95"/>
      <c r="U140" s="95"/>
      <c r="V140" s="95"/>
      <c r="W140" s="95"/>
      <c r="X140" s="95"/>
      <c r="Y140" s="95"/>
      <c r="Z140" s="95"/>
      <c r="AA140" s="95"/>
      <c r="AB140" s="95"/>
      <c r="AC140" s="95"/>
    </row>
    <row r="141" ht="15.75" customHeight="1" spans="1:29">
      <c r="A141" s="95"/>
      <c r="B141" s="95" t="str">
        <f>VLOOKUP(C141,lista_id!$D$2:$F$152,3,0)</f>
        <v>REGIONAL 5</v>
      </c>
      <c r="C141" s="102" t="str">
        <f>IFERROR(__xludf.DUMMYFUNCTION("""COMPUTED_VALUE"""),"CEMEI PROFESSORA LINDOMAR DOMINGOS DA SILVA ANJOS")</f>
        <v>CEMEI PROFESSORA LINDOMAR DOMINGOS DA SILVA ANJOS</v>
      </c>
      <c r="D141" s="95" t="str">
        <f>IFERROR(__xludf.DUMMYFUNCTION("""COMPUTED_VALUE"""),"INFANTIL 3")</f>
        <v>INFANTIL 3</v>
      </c>
      <c r="E141" s="95" t="str">
        <f>IFERROR(__xludf.DUMMYFUNCTION("""COMPUTED_VALUE"""),"Integral")</f>
        <v>Integral</v>
      </c>
      <c r="F141" s="95" t="str">
        <f>IFERROR(__xludf.DUMMYFUNCTION("""COMPUTED_VALUE"""),"Comum")</f>
        <v>Comum</v>
      </c>
      <c r="G141" s="95" t="str">
        <f>IFERROR(__xludf.DUMMYFUNCTION("""COMPUTED_VALUE"""),"13")</f>
        <v>13</v>
      </c>
      <c r="H141" s="95" t="str">
        <f>IFERROR(__xludf.DUMMYFUNCTION("""COMPUTED_VALUE"""),"26022829678")</f>
        <v>26022829678</v>
      </c>
      <c r="I141" s="103" t="str">
        <f>IFERROR(__xludf.DUMMYFUNCTION("""COMPUTED_VALUE"""),"02/02/2026 08:52:36")</f>
        <v>02/02/2026 08:52:36</v>
      </c>
      <c r="J141" s="95" t="str">
        <f>IFERROR(__xludf.DUMMYFUNCTION("""COMPUTED_VALUE"""),"NICOLAS SALAZAR NARANJO")</f>
        <v>NICOLAS SALAZAR NARANJO</v>
      </c>
      <c r="K141" s="95" t="str">
        <f>IFERROR(__xludf.DUMMYFUNCTION("""COMPUTED_VALUE"""),"231.291.997-48")</f>
        <v>231.291.997-48</v>
      </c>
      <c r="L141" s="104" t="str">
        <f>IFERROR(__xludf.DUMMYFUNCTION("""COMPUTED_VALUE"""),"20/09/2022")</f>
        <v>20/09/2022</v>
      </c>
      <c r="M141" s="104"/>
      <c r="N141" s="95" t="str">
        <f>IFERROR(__xludf.DUMMYFUNCTION("""COMPUTED_VALUE"""),"0")</f>
        <v>0</v>
      </c>
      <c r="O141" s="95"/>
      <c r="P141" s="95"/>
      <c r="Q141" s="95"/>
      <c r="R141" s="95"/>
      <c r="S141" s="95"/>
      <c r="T141" s="95"/>
      <c r="U141" s="95"/>
      <c r="V141" s="95"/>
      <c r="W141" s="95"/>
      <c r="X141" s="95"/>
      <c r="Y141" s="95"/>
      <c r="Z141" s="95"/>
      <c r="AA141" s="95"/>
      <c r="AB141" s="95"/>
      <c r="AC141" s="95"/>
    </row>
    <row r="142" ht="15.75" customHeight="1" spans="1:29">
      <c r="A142" s="95"/>
      <c r="B142" s="95" t="str">
        <f>VLOOKUP(C142,lista_id!$D$2:$F$152,3,0)</f>
        <v>REGIONAL 5</v>
      </c>
      <c r="C142" s="102" t="str">
        <f>IFERROR(__xludf.DUMMYFUNCTION("""COMPUTED_VALUE"""),"CEMEI PROFESSORA LINDOMAR DOMINGOS DA SILVA ANJOS")</f>
        <v>CEMEI PROFESSORA LINDOMAR DOMINGOS DA SILVA ANJOS</v>
      </c>
      <c r="D142" s="95" t="str">
        <f>IFERROR(__xludf.DUMMYFUNCTION("""COMPUTED_VALUE"""),"INFANTIL 3")</f>
        <v>INFANTIL 3</v>
      </c>
      <c r="E142" s="95" t="str">
        <f>IFERROR(__xludf.DUMMYFUNCTION("""COMPUTED_VALUE"""),"Integral")</f>
        <v>Integral</v>
      </c>
      <c r="F142" s="95" t="str">
        <f>IFERROR(__xludf.DUMMYFUNCTION("""COMPUTED_VALUE"""),"Comum")</f>
        <v>Comum</v>
      </c>
      <c r="G142" s="95" t="str">
        <f>IFERROR(__xludf.DUMMYFUNCTION("""COMPUTED_VALUE"""),"14")</f>
        <v>14</v>
      </c>
      <c r="H142" s="95" t="str">
        <f>IFERROR(__xludf.DUMMYFUNCTION("""COMPUTED_VALUE"""),"26022285916")</f>
        <v>26022285916</v>
      </c>
      <c r="I142" s="103" t="str">
        <f>IFERROR(__xludf.DUMMYFUNCTION("""COMPUTED_VALUE"""),"04/02/2026 14:48:24")</f>
        <v>04/02/2026 14:48:24</v>
      </c>
      <c r="J142" s="95" t="str">
        <f>IFERROR(__xludf.DUMMYFUNCTION("""COMPUTED_VALUE"""),"RAKELLY LÍVIA AVELINA DA SILVA")</f>
        <v>RAKELLY LÍVIA AVELINA DA SILVA</v>
      </c>
      <c r="K142" s="95" t="str">
        <f>IFERROR(__xludf.DUMMYFUNCTION("""COMPUTED_VALUE"""),"184.728.154-04")</f>
        <v>184.728.154-04</v>
      </c>
      <c r="L142" s="104" t="str">
        <f>IFERROR(__xludf.DUMMYFUNCTION("""COMPUTED_VALUE"""),"06/03/2023")</f>
        <v>06/03/2023</v>
      </c>
      <c r="M142" s="104"/>
      <c r="N142" s="95" t="str">
        <f>IFERROR(__xludf.DUMMYFUNCTION("""COMPUTED_VALUE"""),"0")</f>
        <v>0</v>
      </c>
      <c r="O142" s="95"/>
      <c r="P142" s="95"/>
      <c r="Q142" s="95"/>
      <c r="R142" s="95"/>
      <c r="S142" s="95"/>
      <c r="T142" s="95"/>
      <c r="U142" s="95"/>
      <c r="V142" s="95"/>
      <c r="W142" s="95"/>
      <c r="X142" s="95"/>
      <c r="Y142" s="95"/>
      <c r="Z142" s="95"/>
      <c r="AA142" s="95"/>
      <c r="AB142" s="95"/>
      <c r="AC142" s="95"/>
    </row>
    <row r="143" ht="15.75" customHeight="1" spans="1:29">
      <c r="A143" s="95"/>
      <c r="B143" s="95" t="str">
        <f>VLOOKUP(C143,lista_id!$D$2:$F$152,3,0)</f>
        <v>REGIONAL 5</v>
      </c>
      <c r="C143" s="102" t="str">
        <f>IFERROR(__xludf.DUMMYFUNCTION("""COMPUTED_VALUE"""),"CEMEI PROFESSORA LINDOMAR DOMINGOS DA SILVA ANJOS")</f>
        <v>CEMEI PROFESSORA LINDOMAR DOMINGOS DA SILVA ANJOS</v>
      </c>
      <c r="D143" s="95" t="str">
        <f>IFERROR(__xludf.DUMMYFUNCTION("""COMPUTED_VALUE"""),"INFANTIL 3")</f>
        <v>INFANTIL 3</v>
      </c>
      <c r="E143" s="95" t="str">
        <f>IFERROR(__xludf.DUMMYFUNCTION("""COMPUTED_VALUE"""),"Integral")</f>
        <v>Integral</v>
      </c>
      <c r="F143" s="95" t="str">
        <f>IFERROR(__xludf.DUMMYFUNCTION("""COMPUTED_VALUE"""),"Comum")</f>
        <v>Comum</v>
      </c>
      <c r="G143" s="95" t="str">
        <f>IFERROR(__xludf.DUMMYFUNCTION("""COMPUTED_VALUE"""),"15")</f>
        <v>15</v>
      </c>
      <c r="H143" s="95" t="str">
        <f>IFERROR(__xludf.DUMMYFUNCTION("""COMPUTED_VALUE"""),"26022316702")</f>
        <v>26022316702</v>
      </c>
      <c r="I143" s="103" t="str">
        <f>IFERROR(__xludf.DUMMYFUNCTION("""COMPUTED_VALUE"""),"05/02/2026 15:38:25")</f>
        <v>05/02/2026 15:38:25</v>
      </c>
      <c r="J143" s="95" t="str">
        <f>IFERROR(__xludf.DUMMYFUNCTION("""COMPUTED_VALUE"""),"ANA LAURA MEDEIROS SOUZA DOS SANTOS")</f>
        <v>ANA LAURA MEDEIROS SOUZA DOS SANTOS</v>
      </c>
      <c r="K143" s="95" t="str">
        <f>IFERROR(__xludf.DUMMYFUNCTION("""COMPUTED_VALUE"""),"181.899.694-47")</f>
        <v>181.899.694-47</v>
      </c>
      <c r="L143" s="104" t="str">
        <f>IFERROR(__xludf.DUMMYFUNCTION("""COMPUTED_VALUE"""),"13/06/2022")</f>
        <v>13/06/2022</v>
      </c>
      <c r="M143" s="104"/>
      <c r="N143" s="95" t="str">
        <f>IFERROR(__xludf.DUMMYFUNCTION("""COMPUTED_VALUE"""),"0")</f>
        <v>0</v>
      </c>
      <c r="O143" s="95"/>
      <c r="P143" s="95"/>
      <c r="Q143" s="95"/>
      <c r="R143" s="95"/>
      <c r="S143" s="95"/>
      <c r="T143" s="95"/>
      <c r="U143" s="95"/>
      <c r="V143" s="95"/>
      <c r="W143" s="95"/>
      <c r="X143" s="95"/>
      <c r="Y143" s="95"/>
      <c r="Z143" s="95"/>
      <c r="AA143" s="95"/>
      <c r="AB143" s="95"/>
      <c r="AC143" s="95"/>
    </row>
    <row r="144" ht="15.75" customHeight="1" spans="1:29">
      <c r="A144" s="95"/>
      <c r="B144" s="95" t="str">
        <f>VLOOKUP(C144,lista_id!$D$2:$F$152,3,0)</f>
        <v>REGIONAL 5</v>
      </c>
      <c r="C144" s="102" t="str">
        <f>IFERROR(__xludf.DUMMYFUNCTION("""COMPUTED_VALUE"""),"CEMEI PROFESSORA LINDOMAR DOMINGOS DA SILVA ANJOS")</f>
        <v>CEMEI PROFESSORA LINDOMAR DOMINGOS DA SILVA ANJOS</v>
      </c>
      <c r="D144" s="95" t="str">
        <f>IFERROR(__xludf.DUMMYFUNCTION("""COMPUTED_VALUE"""),"INFANTIL 3")</f>
        <v>INFANTIL 3</v>
      </c>
      <c r="E144" s="95" t="str">
        <f>IFERROR(__xludf.DUMMYFUNCTION("""COMPUTED_VALUE"""),"Integral")</f>
        <v>Integral</v>
      </c>
      <c r="F144" s="95" t="str">
        <f>IFERROR(__xludf.DUMMYFUNCTION("""COMPUTED_VALUE"""),"Comum")</f>
        <v>Comum</v>
      </c>
      <c r="G144" s="95" t="str">
        <f>IFERROR(__xludf.DUMMYFUNCTION("""COMPUTED_VALUE"""),"16")</f>
        <v>16</v>
      </c>
      <c r="H144" s="95" t="str">
        <f>IFERROR(__xludf.DUMMYFUNCTION("""COMPUTED_VALUE"""),"26022978795")</f>
        <v>26022978795</v>
      </c>
      <c r="I144" s="103" t="str">
        <f>IFERROR(__xludf.DUMMYFUNCTION("""COMPUTED_VALUE"""),"06/02/2026 15:36:56")</f>
        <v>06/02/2026 15:36:56</v>
      </c>
      <c r="J144" s="95" t="str">
        <f>IFERROR(__xludf.DUMMYFUNCTION("""COMPUTED_VALUE"""),"MARIA BEATRIZ DA SILVA")</f>
        <v>MARIA BEATRIZ DA SILVA</v>
      </c>
      <c r="K144" s="95" t="str">
        <f>IFERROR(__xludf.DUMMYFUNCTION("""COMPUTED_VALUE"""),"183.426.674-21")</f>
        <v>183.426.674-21</v>
      </c>
      <c r="L144" s="106" t="str">
        <f>IFERROR(__xludf.DUMMYFUNCTION("""COMPUTED_VALUE"""),"13/11/2022")</f>
        <v>13/11/2022</v>
      </c>
      <c r="M144" s="104"/>
      <c r="N144" s="95" t="str">
        <f>IFERROR(__xludf.DUMMYFUNCTION("""COMPUTED_VALUE"""),"0")</f>
        <v>0</v>
      </c>
      <c r="O144" s="95"/>
      <c r="P144" s="95"/>
      <c r="Q144" s="95"/>
      <c r="R144" s="95"/>
      <c r="S144" s="95"/>
      <c r="T144" s="95"/>
      <c r="U144" s="95"/>
      <c r="V144" s="95"/>
      <c r="W144" s="95"/>
      <c r="X144" s="95"/>
      <c r="Y144" s="95"/>
      <c r="Z144" s="95"/>
      <c r="AA144" s="95"/>
      <c r="AB144" s="95"/>
      <c r="AC144" s="95"/>
    </row>
    <row r="145" ht="15.75" customHeight="1" spans="1:29">
      <c r="A145" s="95"/>
      <c r="B145" s="95" t="str">
        <f>VLOOKUP(C145,lista_id!$D$2:$F$152,3,0)</f>
        <v>REGIONAL 5</v>
      </c>
      <c r="C145" s="102" t="str">
        <f>IFERROR(__xludf.DUMMYFUNCTION("""COMPUTED_VALUE"""),"CEMEI PROFESSORA LINDOMAR DOMINGOS DA SILVA ANJOS")</f>
        <v>CEMEI PROFESSORA LINDOMAR DOMINGOS DA SILVA ANJOS</v>
      </c>
      <c r="D145" s="95" t="str">
        <f>IFERROR(__xludf.DUMMYFUNCTION("""COMPUTED_VALUE"""),"INFANTIL 3")</f>
        <v>INFANTIL 3</v>
      </c>
      <c r="E145" s="95" t="str">
        <f>IFERROR(__xludf.DUMMYFUNCTION("""COMPUTED_VALUE"""),"Integral")</f>
        <v>Integral</v>
      </c>
      <c r="F145" s="95" t="str">
        <f>IFERROR(__xludf.DUMMYFUNCTION("""COMPUTED_VALUE"""),"Comum")</f>
        <v>Comum</v>
      </c>
      <c r="G145" s="95" t="str">
        <f>IFERROR(__xludf.DUMMYFUNCTION("""COMPUTED_VALUE"""),"17")</f>
        <v>17</v>
      </c>
      <c r="H145" s="95" t="str">
        <f>IFERROR(__xludf.DUMMYFUNCTION("""COMPUTED_VALUE"""),"26022352953")</f>
        <v>26022352953</v>
      </c>
      <c r="I145" s="103" t="str">
        <f>IFERROR(__xludf.DUMMYFUNCTION("""COMPUTED_VALUE"""),"10/02/2026 09:04:52")</f>
        <v>10/02/2026 09:04:52</v>
      </c>
      <c r="J145" s="95" t="str">
        <f>IFERROR(__xludf.DUMMYFUNCTION("""COMPUTED_VALUE"""),"ANA CLARA MEDEIROS SOUZA DOS SANTOS")</f>
        <v>ANA CLARA MEDEIROS SOUZA DOS SANTOS</v>
      </c>
      <c r="K145" s="95" t="str">
        <f>IFERROR(__xludf.DUMMYFUNCTION("""COMPUTED_VALUE"""),"181.899.534-43")</f>
        <v>181.899.534-43</v>
      </c>
      <c r="L145" s="106" t="str">
        <f>IFERROR(__xludf.DUMMYFUNCTION("""COMPUTED_VALUE"""),"13/06/2022")</f>
        <v>13/06/2022</v>
      </c>
      <c r="M145" s="104"/>
      <c r="N145" s="95" t="str">
        <f>IFERROR(__xludf.DUMMYFUNCTION("""COMPUTED_VALUE"""),"0")</f>
        <v>0</v>
      </c>
      <c r="O145" s="95"/>
      <c r="P145" s="95"/>
      <c r="Q145" s="95"/>
      <c r="R145" s="95"/>
      <c r="S145" s="95"/>
      <c r="T145" s="95"/>
      <c r="U145" s="95"/>
      <c r="V145" s="95"/>
      <c r="W145" s="95"/>
      <c r="X145" s="95"/>
      <c r="Y145" s="95"/>
      <c r="Z145" s="95"/>
      <c r="AA145" s="95"/>
      <c r="AB145" s="95"/>
      <c r="AC145" s="95"/>
    </row>
    <row r="146" ht="15.75" customHeight="1" spans="1:29">
      <c r="A146" s="95"/>
      <c r="B146" s="95" t="str">
        <f>VLOOKUP(C146,lista_id!$D$2:$F$152,3,0)</f>
        <v>REGIONAL 5</v>
      </c>
      <c r="C146" s="102" t="str">
        <f>IFERROR(__xludf.DUMMYFUNCTION("""COMPUTED_VALUE"""),"CEMEI PROFESSORA LINDOMAR DOMINGOS DA SILVA ANJOS")</f>
        <v>CEMEI PROFESSORA LINDOMAR DOMINGOS DA SILVA ANJOS</v>
      </c>
      <c r="D146" s="95" t="str">
        <f>IFERROR(__xludf.DUMMYFUNCTION("""COMPUTED_VALUE"""),"INFANTIL 3")</f>
        <v>INFANTIL 3</v>
      </c>
      <c r="E146" s="95" t="str">
        <f>IFERROR(__xludf.DUMMYFUNCTION("""COMPUTED_VALUE"""),"Integral")</f>
        <v>Integral</v>
      </c>
      <c r="F146" s="95" t="str">
        <f>IFERROR(__xludf.DUMMYFUNCTION("""COMPUTED_VALUE"""),"Comum")</f>
        <v>Comum</v>
      </c>
      <c r="G146" s="95" t="str">
        <f>IFERROR(__xludf.DUMMYFUNCTION("""COMPUTED_VALUE"""),"18")</f>
        <v>18</v>
      </c>
      <c r="H146" s="95" t="str">
        <f>IFERROR(__xludf.DUMMYFUNCTION("""COMPUTED_VALUE"""),"26022728482")</f>
        <v>26022728482</v>
      </c>
      <c r="I146" s="103" t="str">
        <f>IFERROR(__xludf.DUMMYFUNCTION("""COMPUTED_VALUE"""),"10/02/2026 10:01:04")</f>
        <v>10/02/2026 10:01:04</v>
      </c>
      <c r="J146" s="95" t="str">
        <f>IFERROR(__xludf.DUMMYFUNCTION("""COMPUTED_VALUE"""),"RAYANE VITÓRIA DA SILVA MARAVILHA")</f>
        <v>RAYANE VITÓRIA DA SILVA MARAVILHA</v>
      </c>
      <c r="K146" s="95" t="str">
        <f>IFERROR(__xludf.DUMMYFUNCTION("""COMPUTED_VALUE"""),"182.666.294-47")</f>
        <v>182.666.294-47</v>
      </c>
      <c r="L146" s="104" t="str">
        <f>IFERROR(__xludf.DUMMYFUNCTION("""COMPUTED_VALUE"""),"22/08/2022")</f>
        <v>22/08/2022</v>
      </c>
      <c r="M146" s="104"/>
      <c r="N146" s="95" t="str">
        <f>IFERROR(__xludf.DUMMYFUNCTION("""COMPUTED_VALUE"""),"0")</f>
        <v>0</v>
      </c>
      <c r="O146" s="95"/>
      <c r="P146" s="95"/>
      <c r="Q146" s="95"/>
      <c r="R146" s="95"/>
      <c r="S146" s="95"/>
      <c r="T146" s="95"/>
      <c r="U146" s="95"/>
      <c r="V146" s="95"/>
      <c r="W146" s="95"/>
      <c r="X146" s="95"/>
      <c r="Y146" s="95"/>
      <c r="Z146" s="95"/>
      <c r="AA146" s="95"/>
      <c r="AB146" s="95"/>
      <c r="AC146" s="95"/>
    </row>
    <row r="147" ht="15.75" customHeight="1" spans="1:29">
      <c r="A147" s="95"/>
      <c r="B147" s="95" t="str">
        <f>VLOOKUP(C147,lista_id!$D$2:$F$152,3,0)</f>
        <v>REGIONAL 5</v>
      </c>
      <c r="C147" s="102" t="str">
        <f>IFERROR(__xludf.DUMMYFUNCTION("""COMPUTED_VALUE"""),"CEMEI PROFESSORA LINDOMAR DOMINGOS DA SILVA ANJOS")</f>
        <v>CEMEI PROFESSORA LINDOMAR DOMINGOS DA SILVA ANJOS</v>
      </c>
      <c r="D147" s="95" t="str">
        <f>IFERROR(__xludf.DUMMYFUNCTION("""COMPUTED_VALUE"""),"INFANTIL 3")</f>
        <v>INFANTIL 3</v>
      </c>
      <c r="E147" s="95" t="str">
        <f>IFERROR(__xludf.DUMMYFUNCTION("""COMPUTED_VALUE"""),"Integral")</f>
        <v>Integral</v>
      </c>
      <c r="F147" s="95" t="str">
        <f>IFERROR(__xludf.DUMMYFUNCTION("""COMPUTED_VALUE"""),"Comum")</f>
        <v>Comum</v>
      </c>
      <c r="G147" s="95" t="str">
        <f>IFERROR(__xludf.DUMMYFUNCTION("""COMPUTED_VALUE"""),"19")</f>
        <v>19</v>
      </c>
      <c r="H147" s="95" t="str">
        <f>IFERROR(__xludf.DUMMYFUNCTION("""COMPUTED_VALUE"""),"26022801517")</f>
        <v>26022801517</v>
      </c>
      <c r="I147" s="103" t="str">
        <f>IFERROR(__xludf.DUMMYFUNCTION("""COMPUTED_VALUE"""),"19/02/2026 09:51:04")</f>
        <v>19/02/2026 09:51:04</v>
      </c>
      <c r="J147" s="95" t="str">
        <f>IFERROR(__xludf.DUMMYFUNCTION("""COMPUTED_VALUE"""),"ANNA LAURA BATISTA SILVA")</f>
        <v>ANNA LAURA BATISTA SILVA</v>
      </c>
      <c r="K147" s="95" t="str">
        <f>IFERROR(__xludf.DUMMYFUNCTION("""COMPUTED_VALUE"""),"183.545.274-41")</f>
        <v>183.545.274-41</v>
      </c>
      <c r="L147" s="106" t="str">
        <f>IFERROR(__xludf.DUMMYFUNCTION("""COMPUTED_VALUE"""),"28/08/2022")</f>
        <v>28/08/2022</v>
      </c>
      <c r="M147" s="104"/>
      <c r="N147" s="95" t="str">
        <f>IFERROR(__xludf.DUMMYFUNCTION("""COMPUTED_VALUE"""),"0")</f>
        <v>0</v>
      </c>
      <c r="O147" s="95"/>
      <c r="P147" s="95"/>
      <c r="Q147" s="95"/>
      <c r="R147" s="95"/>
      <c r="S147" s="95"/>
      <c r="T147" s="95"/>
      <c r="U147" s="95"/>
      <c r="V147" s="95"/>
      <c r="W147" s="95"/>
      <c r="X147" s="95"/>
      <c r="Y147" s="95"/>
      <c r="Z147" s="95"/>
      <c r="AA147" s="95"/>
      <c r="AB147" s="95"/>
      <c r="AC147" s="95"/>
    </row>
    <row r="148" ht="15.75" customHeight="1" spans="1:29">
      <c r="A148" s="95"/>
      <c r="B148" s="95" t="str">
        <f>VLOOKUP(C148,lista_id!$D$2:$F$152,3,0)</f>
        <v>REGIONAL 5</v>
      </c>
      <c r="C148" s="102" t="str">
        <f>IFERROR(__xludf.DUMMYFUNCTION("""COMPUTED_VALUE"""),"CEMEI PROFESSORA LINDOMAR DOMINGOS DA SILVA ANJOS")</f>
        <v>CEMEI PROFESSORA LINDOMAR DOMINGOS DA SILVA ANJOS</v>
      </c>
      <c r="D148" s="95" t="str">
        <f>IFERROR(__xludf.DUMMYFUNCTION("""COMPUTED_VALUE"""),"INFANTIL 3")</f>
        <v>INFANTIL 3</v>
      </c>
      <c r="E148" s="95" t="str">
        <f>IFERROR(__xludf.DUMMYFUNCTION("""COMPUTED_VALUE"""),"Integral")</f>
        <v>Integral</v>
      </c>
      <c r="F148" s="95" t="str">
        <f>IFERROR(__xludf.DUMMYFUNCTION("""COMPUTED_VALUE"""),"Comum")</f>
        <v>Comum</v>
      </c>
      <c r="G148" s="95" t="str">
        <f>IFERROR(__xludf.DUMMYFUNCTION("""COMPUTED_VALUE"""),"20")</f>
        <v>20</v>
      </c>
      <c r="H148" s="95" t="str">
        <f>IFERROR(__xludf.DUMMYFUNCTION("""COMPUTED_VALUE"""),"26022185383")</f>
        <v>26022185383</v>
      </c>
      <c r="I148" s="103" t="str">
        <f>IFERROR(__xludf.DUMMYFUNCTION("""COMPUTED_VALUE"""),"19/02/2026 16:10:29")</f>
        <v>19/02/2026 16:10:29</v>
      </c>
      <c r="J148" s="95" t="str">
        <f>IFERROR(__xludf.DUMMYFUNCTION("""COMPUTED_VALUE"""),"LIZ FERREIRA LEODORO")</f>
        <v>LIZ FERREIRA LEODORO</v>
      </c>
      <c r="K148" s="95" t="str">
        <f>IFERROR(__xludf.DUMMYFUNCTION("""COMPUTED_VALUE"""),"182.291.174-54")</f>
        <v>182.291.174-54</v>
      </c>
      <c r="L148" s="104" t="str">
        <f>IFERROR(__xludf.DUMMYFUNCTION("""COMPUTED_VALUE"""),"19/07/2022")</f>
        <v>19/07/2022</v>
      </c>
      <c r="M148" s="104"/>
      <c r="N148" s="95" t="str">
        <f>IFERROR(__xludf.DUMMYFUNCTION("""COMPUTED_VALUE"""),"0")</f>
        <v>0</v>
      </c>
      <c r="O148" s="95"/>
      <c r="P148" s="95"/>
      <c r="Q148" s="95"/>
      <c r="R148" s="95"/>
      <c r="S148" s="95"/>
      <c r="T148" s="95"/>
      <c r="U148" s="95"/>
      <c r="V148" s="95"/>
      <c r="W148" s="95"/>
      <c r="X148" s="95"/>
      <c r="Y148" s="95"/>
      <c r="Z148" s="95"/>
      <c r="AA148" s="95"/>
      <c r="AB148" s="95"/>
      <c r="AC148" s="95"/>
    </row>
    <row r="149" ht="15.75" customHeight="1" spans="1:29">
      <c r="A149" s="95"/>
      <c r="B149" s="95" t="str">
        <f>VLOOKUP(C149,lista_id!$D$2:$F$152,3,0)</f>
        <v>REGIONAL 5</v>
      </c>
      <c r="C149" s="102" t="str">
        <f>IFERROR(__xludf.DUMMYFUNCTION("""COMPUTED_VALUE"""),"CEMEI PROFESSORA LINDOMAR DOMINGOS DA SILVA ANJOS")</f>
        <v>CEMEI PROFESSORA LINDOMAR DOMINGOS DA SILVA ANJOS</v>
      </c>
      <c r="D149" s="95" t="str">
        <f>IFERROR(__xludf.DUMMYFUNCTION("""COMPUTED_VALUE"""),"INFANTIL 3")</f>
        <v>INFANTIL 3</v>
      </c>
      <c r="E149" s="95" t="str">
        <f>IFERROR(__xludf.DUMMYFUNCTION("""COMPUTED_VALUE"""),"Integral")</f>
        <v>Integral</v>
      </c>
      <c r="F149" s="95" t="str">
        <f>IFERROR(__xludf.DUMMYFUNCTION("""COMPUTED_VALUE"""),"Comum")</f>
        <v>Comum</v>
      </c>
      <c r="G149" s="95" t="str">
        <f>IFERROR(__xludf.DUMMYFUNCTION("""COMPUTED_VALUE"""),"21")</f>
        <v>21</v>
      </c>
      <c r="H149" s="95" t="str">
        <f>IFERROR(__xludf.DUMMYFUNCTION("""COMPUTED_VALUE"""),"26032195165")</f>
        <v>26032195165</v>
      </c>
      <c r="I149" s="103" t="str">
        <f>IFERROR(__xludf.DUMMYFUNCTION("""COMPUTED_VALUE"""),"03/03/2026 13:51:57")</f>
        <v>03/03/2026 13:51:57</v>
      </c>
      <c r="J149" s="95" t="str">
        <f>IFERROR(__xludf.DUMMYFUNCTION("""COMPUTED_VALUE"""),"THEO RAFAEL DEODATO DE MEDEIROS")</f>
        <v>THEO RAFAEL DEODATO DE MEDEIROS</v>
      </c>
      <c r="K149" s="95" t="str">
        <f>IFERROR(__xludf.DUMMYFUNCTION("""COMPUTED_VALUE"""),"184.730.544-07")</f>
        <v>184.730.544-07</v>
      </c>
      <c r="L149" s="104" t="str">
        <f>IFERROR(__xludf.DUMMYFUNCTION("""COMPUTED_VALUE"""),"15/03/2023")</f>
        <v>15/03/2023</v>
      </c>
      <c r="M149" s="104"/>
      <c r="N149" s="95" t="str">
        <f>IFERROR(__xludf.DUMMYFUNCTION("""COMPUTED_VALUE"""),"0")</f>
        <v>0</v>
      </c>
      <c r="O149" s="95"/>
      <c r="P149" s="95"/>
      <c r="Q149" s="95"/>
      <c r="R149" s="95"/>
      <c r="S149" s="95"/>
      <c r="T149" s="95"/>
      <c r="U149" s="95"/>
      <c r="V149" s="95"/>
      <c r="W149" s="95"/>
      <c r="X149" s="95"/>
      <c r="Y149" s="95"/>
      <c r="Z149" s="95"/>
      <c r="AA149" s="95"/>
      <c r="AB149" s="95"/>
      <c r="AC149" s="95"/>
    </row>
    <row r="150" ht="15.75" customHeight="1" spans="1:29">
      <c r="A150" s="95"/>
      <c r="B150" s="95" t="str">
        <f>VLOOKUP(C150,lista_id!$D$2:$F$152,3,0)</f>
        <v>REGIONAL 5</v>
      </c>
      <c r="C150" s="102" t="str">
        <f>IFERROR(__xludf.DUMMYFUNCTION("""COMPUTED_VALUE"""),"CEMEI PROFESSORA LINDOMAR DOMINGOS DA SILVA ANJOS")</f>
        <v>CEMEI PROFESSORA LINDOMAR DOMINGOS DA SILVA ANJOS</v>
      </c>
      <c r="D150" s="95" t="str">
        <f>IFERROR(__xludf.DUMMYFUNCTION("""COMPUTED_VALUE"""),"INFANTIL 3")</f>
        <v>INFANTIL 3</v>
      </c>
      <c r="E150" s="95" t="str">
        <f>IFERROR(__xludf.DUMMYFUNCTION("""COMPUTED_VALUE"""),"Integral")</f>
        <v>Integral</v>
      </c>
      <c r="F150" s="95" t="str">
        <f>IFERROR(__xludf.DUMMYFUNCTION("""COMPUTED_VALUE"""),"Comum")</f>
        <v>Comum</v>
      </c>
      <c r="G150" s="95" t="str">
        <f>IFERROR(__xludf.DUMMYFUNCTION("""COMPUTED_VALUE"""),"22")</f>
        <v>22</v>
      </c>
      <c r="H150" s="95" t="str">
        <f>IFERROR(__xludf.DUMMYFUNCTION("""COMPUTED_VALUE"""),"26032930723")</f>
        <v>26032930723</v>
      </c>
      <c r="I150" s="103" t="str">
        <f>IFERROR(__xludf.DUMMYFUNCTION("""COMPUTED_VALUE"""),"24/03/2026 15:33:58")</f>
        <v>24/03/2026 15:33:58</v>
      </c>
      <c r="J150" s="95" t="str">
        <f>IFERROR(__xludf.DUMMYFUNCTION("""COMPUTED_VALUE"""),"AYLLA VITÓRIA CAETANO DOS SANTOS")</f>
        <v>AYLLA VITÓRIA CAETANO DOS SANTOS</v>
      </c>
      <c r="K150" s="95" t="str">
        <f>IFERROR(__xludf.DUMMYFUNCTION("""COMPUTED_VALUE"""),"093.237.424-73")</f>
        <v>093.237.424-73</v>
      </c>
      <c r="L150" s="104" t="str">
        <f>IFERROR(__xludf.DUMMYFUNCTION("""COMPUTED_VALUE"""),"06/10/2022")</f>
        <v>06/10/2022</v>
      </c>
      <c r="M150" s="104"/>
      <c r="N150" s="95" t="str">
        <f>IFERROR(__xludf.DUMMYFUNCTION("""COMPUTED_VALUE"""),"0")</f>
        <v>0</v>
      </c>
      <c r="O150" s="95"/>
      <c r="P150" s="95"/>
      <c r="Q150" s="95"/>
      <c r="R150" s="95"/>
      <c r="S150" s="95"/>
      <c r="T150" s="95"/>
      <c r="U150" s="95"/>
      <c r="V150" s="95"/>
      <c r="W150" s="95"/>
      <c r="X150" s="95"/>
      <c r="Y150" s="95"/>
      <c r="Z150" s="95"/>
      <c r="AA150" s="95"/>
      <c r="AB150" s="95"/>
      <c r="AC150" s="95"/>
    </row>
    <row r="151" ht="15.75" customHeight="1" spans="1:29">
      <c r="A151" s="95"/>
      <c r="B151" s="95" t="str">
        <f>VLOOKUP(C151,lista_id!$D$2:$F$152,3,0)</f>
        <v>REGIONAL 5</v>
      </c>
      <c r="C151" s="102" t="str">
        <f>IFERROR(__xludf.DUMMYFUNCTION("""COMPUTED_VALUE"""),"CEMEI PROFESSORA LINDOMAR DOMINGOS DA SILVA ANJOS")</f>
        <v>CEMEI PROFESSORA LINDOMAR DOMINGOS DA SILVA ANJOS</v>
      </c>
      <c r="D151" s="95" t="str">
        <f>IFERROR(__xludf.DUMMYFUNCTION("""COMPUTED_VALUE"""),"INFANTIL 3")</f>
        <v>INFANTIL 3</v>
      </c>
      <c r="E151" s="95" t="str">
        <f>IFERROR(__xludf.DUMMYFUNCTION("""COMPUTED_VALUE"""),"Integral")</f>
        <v>Integral</v>
      </c>
      <c r="F151" s="95" t="str">
        <f>IFERROR(__xludf.DUMMYFUNCTION("""COMPUTED_VALUE"""),"Comum")</f>
        <v>Comum</v>
      </c>
      <c r="G151" s="95" t="str">
        <f>IFERROR(__xludf.DUMMYFUNCTION("""COMPUTED_VALUE"""),"23")</f>
        <v>23</v>
      </c>
      <c r="H151" s="95" t="str">
        <f>IFERROR(__xludf.DUMMYFUNCTION("""COMPUTED_VALUE"""),"26042357277")</f>
        <v>26042357277</v>
      </c>
      <c r="I151" s="103" t="str">
        <f>IFERROR(__xludf.DUMMYFUNCTION("""COMPUTED_VALUE"""),"09/04/2026 12:42:59")</f>
        <v>09/04/2026 12:42:59</v>
      </c>
      <c r="J151" s="95" t="str">
        <f>IFERROR(__xludf.DUMMYFUNCTION("""COMPUTED_VALUE"""),"TAWANE EMANUELLEY DA SILVA")</f>
        <v>TAWANE EMANUELLEY DA SILVA</v>
      </c>
      <c r="K151" s="95" t="str">
        <f>IFERROR(__xludf.DUMMYFUNCTION("""COMPUTED_VALUE"""),"183.002.884-73")</f>
        <v>183.002.884-73</v>
      </c>
      <c r="L151" s="104" t="str">
        <f>IFERROR(__xludf.DUMMYFUNCTION("""COMPUTED_VALUE"""),"28/09/2022")</f>
        <v>28/09/2022</v>
      </c>
      <c r="M151" s="104"/>
      <c r="N151" s="95" t="str">
        <f>IFERROR(__xludf.DUMMYFUNCTION("""COMPUTED_VALUE"""),"0")</f>
        <v>0</v>
      </c>
      <c r="O151" s="95"/>
      <c r="P151" s="95"/>
      <c r="Q151" s="95"/>
      <c r="R151" s="95"/>
      <c r="S151" s="95"/>
      <c r="T151" s="95"/>
      <c r="U151" s="95"/>
      <c r="V151" s="95"/>
      <c r="W151" s="95"/>
      <c r="X151" s="95"/>
      <c r="Y151" s="95"/>
      <c r="Z151" s="95"/>
      <c r="AA151" s="95"/>
      <c r="AB151" s="95"/>
      <c r="AC151" s="95"/>
    </row>
    <row r="152" ht="15.75" customHeight="1" spans="1:29">
      <c r="A152" s="95"/>
      <c r="B152" s="95" t="str">
        <f>VLOOKUP(C152,lista_id!$D$2:$F$152,3,0)</f>
        <v>REGIONAL 5</v>
      </c>
      <c r="C152" s="102" t="str">
        <f>IFERROR(__xludf.DUMMYFUNCTION("""COMPUTED_VALUE"""),"CEMEI PROFESSORA LINDOMAR DOMINGOS DA SILVA ANJOS")</f>
        <v>CEMEI PROFESSORA LINDOMAR DOMINGOS DA SILVA ANJOS</v>
      </c>
      <c r="D152" s="95" t="str">
        <f>IFERROR(__xludf.DUMMYFUNCTION("""COMPUTED_VALUE"""),"INFANTIL 3")</f>
        <v>INFANTIL 3</v>
      </c>
      <c r="E152" s="95" t="str">
        <f>IFERROR(__xludf.DUMMYFUNCTION("""COMPUTED_VALUE"""),"Integral")</f>
        <v>Integral</v>
      </c>
      <c r="F152" s="95" t="str">
        <f>IFERROR(__xludf.DUMMYFUNCTION("""COMPUTED_VALUE"""),"Comum")</f>
        <v>Comum</v>
      </c>
      <c r="G152" s="95" t="str">
        <f>IFERROR(__xludf.DUMMYFUNCTION("""COMPUTED_VALUE"""),"24")</f>
        <v>24</v>
      </c>
      <c r="H152" s="95" t="str">
        <f>IFERROR(__xludf.DUMMYFUNCTION("""COMPUTED_VALUE"""),"26042287215")</f>
        <v>26042287215</v>
      </c>
      <c r="I152" s="103" t="str">
        <f>IFERROR(__xludf.DUMMYFUNCTION("""COMPUTED_VALUE"""),"15/04/2026 12:12:34")</f>
        <v>15/04/2026 12:12:34</v>
      </c>
      <c r="J152" s="95" t="str">
        <f>IFERROR(__xludf.DUMMYFUNCTION("""COMPUTED_VALUE"""),"LARA MARIA MARTINS DO CARMO")</f>
        <v>LARA MARIA MARTINS DO CARMO</v>
      </c>
      <c r="K152" s="95" t="str">
        <f>IFERROR(__xludf.DUMMYFUNCTION("""COMPUTED_VALUE"""),"181.852.304-39")</f>
        <v>181.852.304-39</v>
      </c>
      <c r="L152" s="104" t="str">
        <f>IFERROR(__xludf.DUMMYFUNCTION("""COMPUTED_VALUE"""),"15/05/2022")</f>
        <v>15/05/2022</v>
      </c>
      <c r="M152" s="104"/>
      <c r="N152" s="95" t="str">
        <f>IFERROR(__xludf.DUMMYFUNCTION("""COMPUTED_VALUE"""),"0")</f>
        <v>0</v>
      </c>
      <c r="O152" s="95"/>
      <c r="P152" s="95"/>
      <c r="Q152" s="95"/>
      <c r="R152" s="95"/>
      <c r="S152" s="95"/>
      <c r="T152" s="95"/>
      <c r="U152" s="95"/>
      <c r="V152" s="95"/>
      <c r="W152" s="95"/>
      <c r="X152" s="95"/>
      <c r="Y152" s="95"/>
      <c r="Z152" s="95"/>
      <c r="AA152" s="95"/>
      <c r="AB152" s="95"/>
      <c r="AC152" s="95"/>
    </row>
    <row r="153" ht="15.75" customHeight="1" spans="1:29">
      <c r="A153" s="95"/>
      <c r="B153" s="95" t="str">
        <f>VLOOKUP(C153,lista_id!$D$2:$F$152,3,0)</f>
        <v>REGIONAL 5</v>
      </c>
      <c r="C153" s="102" t="str">
        <f>IFERROR(__xludf.DUMMYFUNCTION("""COMPUTED_VALUE"""),"CEMEI PROFESSORA LINDOMAR DOMINGOS DA SILVA ANJOS")</f>
        <v>CEMEI PROFESSORA LINDOMAR DOMINGOS DA SILVA ANJOS</v>
      </c>
      <c r="D153" s="95" t="str">
        <f>IFERROR(__xludf.DUMMYFUNCTION("""COMPUTED_VALUE"""),"INFANTIL 3")</f>
        <v>INFANTIL 3</v>
      </c>
      <c r="E153" s="95" t="str">
        <f>IFERROR(__xludf.DUMMYFUNCTION("""COMPUTED_VALUE"""),"Integral")</f>
        <v>Integral</v>
      </c>
      <c r="F153" s="95" t="str">
        <f>IFERROR(__xludf.DUMMYFUNCTION("""COMPUTED_VALUE"""),"Comum")</f>
        <v>Comum</v>
      </c>
      <c r="G153" s="95" t="str">
        <f>IFERROR(__xludf.DUMMYFUNCTION("""COMPUTED_VALUE"""),"25")</f>
        <v>25</v>
      </c>
      <c r="H153" s="95" t="str">
        <f>IFERROR(__xludf.DUMMYFUNCTION("""COMPUTED_VALUE"""),"26042803670")</f>
        <v>26042803670</v>
      </c>
      <c r="I153" s="103" t="str">
        <f>IFERROR(__xludf.DUMMYFUNCTION("""COMPUTED_VALUE"""),"15/04/2026 20:08:01")</f>
        <v>15/04/2026 20:08:01</v>
      </c>
      <c r="J153" s="95" t="str">
        <f>IFERROR(__xludf.DUMMYFUNCTION("""COMPUTED_VALUE"""),"MARIA LIZ VIEIRA DA SILVA")</f>
        <v>MARIA LIZ VIEIRA DA SILVA</v>
      </c>
      <c r="K153" s="95" t="str">
        <f>IFERROR(__xludf.DUMMYFUNCTION("""COMPUTED_VALUE"""),"184.686.634-09")</f>
        <v>184.686.634-09</v>
      </c>
      <c r="L153" s="104" t="str">
        <f>IFERROR(__xludf.DUMMYFUNCTION("""COMPUTED_VALUE"""),"06/03/2023")</f>
        <v>06/03/2023</v>
      </c>
      <c r="M153" s="104"/>
      <c r="N153" s="95" t="str">
        <f>IFERROR(__xludf.DUMMYFUNCTION("""COMPUTED_VALUE"""),"0")</f>
        <v>0</v>
      </c>
      <c r="O153" s="95"/>
      <c r="P153" s="95"/>
      <c r="Q153" s="95"/>
      <c r="R153" s="95"/>
      <c r="S153" s="95"/>
      <c r="T153" s="95"/>
      <c r="U153" s="95"/>
      <c r="V153" s="95"/>
      <c r="W153" s="95"/>
      <c r="X153" s="95"/>
      <c r="Y153" s="95"/>
      <c r="Z153" s="95"/>
      <c r="AA153" s="95"/>
      <c r="AB153" s="95"/>
      <c r="AC153" s="95"/>
    </row>
    <row r="154" ht="15.75" customHeight="1" spans="1:29">
      <c r="A154" s="95"/>
      <c r="B154" s="95" t="str">
        <f>VLOOKUP(C154,lista_id!$D$2:$F$152,3,0)</f>
        <v>REGIONAL 5</v>
      </c>
      <c r="C154" s="102" t="str">
        <f>IFERROR(__xludf.DUMMYFUNCTION("""COMPUTED_VALUE"""),"CEMEI PROFESSORA LINDOMAR DOMINGOS DA SILVA ANJOS")</f>
        <v>CEMEI PROFESSORA LINDOMAR DOMINGOS DA SILVA ANJOS</v>
      </c>
      <c r="D154" s="95" t="str">
        <f>IFERROR(__xludf.DUMMYFUNCTION("""COMPUTED_VALUE"""),"INFANTIL 3")</f>
        <v>INFANTIL 3</v>
      </c>
      <c r="E154" s="95" t="str">
        <f>IFERROR(__xludf.DUMMYFUNCTION("""COMPUTED_VALUE"""),"Integral")</f>
        <v>Integral</v>
      </c>
      <c r="F154" s="95" t="str">
        <f>IFERROR(__xludf.DUMMYFUNCTION("""COMPUTED_VALUE"""),"Comum")</f>
        <v>Comum</v>
      </c>
      <c r="G154" s="95" t="str">
        <f>IFERROR(__xludf.DUMMYFUNCTION("""COMPUTED_VALUE"""),"26")</f>
        <v>26</v>
      </c>
      <c r="H154" s="95" t="str">
        <f>IFERROR(__xludf.DUMMYFUNCTION("""COMPUTED_VALUE"""),"26042027120")</f>
        <v>26042027120</v>
      </c>
      <c r="I154" s="103" t="str">
        <f>IFERROR(__xludf.DUMMYFUNCTION("""COMPUTED_VALUE"""),"24/04/2026 15:30:49")</f>
        <v>24/04/2026 15:30:49</v>
      </c>
      <c r="J154" s="95" t="str">
        <f>IFERROR(__xludf.DUMMYFUNCTION("""COMPUTED_VALUE"""),"LAURA GABRIELY DA SILVA MELO")</f>
        <v>LAURA GABRIELY DA SILVA MELO</v>
      </c>
      <c r="K154" s="95" t="str">
        <f>IFERROR(__xludf.DUMMYFUNCTION("""COMPUTED_VALUE"""),"182.841.544-80")</f>
        <v>182.841.544-80</v>
      </c>
      <c r="L154" s="104" t="str">
        <f>IFERROR(__xludf.DUMMYFUNCTION("""COMPUTED_VALUE"""),"27/07/2022")</f>
        <v>27/07/2022</v>
      </c>
      <c r="M154" s="104"/>
      <c r="N154" s="95" t="str">
        <f>IFERROR(__xludf.DUMMYFUNCTION("""COMPUTED_VALUE"""),"0")</f>
        <v>0</v>
      </c>
      <c r="O154" s="95"/>
      <c r="P154" s="95"/>
      <c r="Q154" s="95"/>
      <c r="R154" s="95"/>
      <c r="S154" s="95"/>
      <c r="T154" s="95"/>
      <c r="U154" s="95"/>
      <c r="V154" s="95"/>
      <c r="W154" s="95"/>
      <c r="X154" s="95"/>
      <c r="Y154" s="95"/>
      <c r="Z154" s="95"/>
      <c r="AA154" s="95"/>
      <c r="AB154" s="95"/>
      <c r="AC154" s="95"/>
    </row>
    <row r="155" ht="15.75" customHeight="1" spans="1:29">
      <c r="A155" s="95"/>
      <c r="B155" s="95" t="str">
        <f>VLOOKUP(C155,lista_id!$D$2:$F$152,3,0)</f>
        <v>REGIONAL 5</v>
      </c>
      <c r="C155" s="102" t="str">
        <f>IFERROR(__xludf.DUMMYFUNCTION("""COMPUTED_VALUE"""),"CEMEI PROFESSORA LINDOMAR DOMINGOS DA SILVA ANJOS")</f>
        <v>CEMEI PROFESSORA LINDOMAR DOMINGOS DA SILVA ANJOS</v>
      </c>
      <c r="D155" s="95" t="str">
        <f>IFERROR(__xludf.DUMMYFUNCTION("""COMPUTED_VALUE"""),"INFANTIL 3")</f>
        <v>INFANTIL 3</v>
      </c>
      <c r="E155" s="95" t="str">
        <f>IFERROR(__xludf.DUMMYFUNCTION("""COMPUTED_VALUE"""),"Integral")</f>
        <v>Integral</v>
      </c>
      <c r="F155" s="95" t="str">
        <f>IFERROR(__xludf.DUMMYFUNCTION("""COMPUTED_VALUE"""),"Comum")</f>
        <v>Comum</v>
      </c>
      <c r="G155" s="95" t="str">
        <f>IFERROR(__xludf.DUMMYFUNCTION("""COMPUTED_VALUE"""),"27")</f>
        <v>27</v>
      </c>
      <c r="H155" s="95" t="str">
        <f>IFERROR(__xludf.DUMMYFUNCTION("""COMPUTED_VALUE"""),"26052737695")</f>
        <v>26052737695</v>
      </c>
      <c r="I155" s="103" t="str">
        <f>IFERROR(__xludf.DUMMYFUNCTION("""COMPUTED_VALUE"""),"13/05/2026 09:51:31")</f>
        <v>13/05/2026 09:51:31</v>
      </c>
      <c r="J155" s="95" t="str">
        <f>IFERROR(__xludf.DUMMYFUNCTION("""COMPUTED_VALUE"""),"ANTHONY TAYLOR MARTINS DO NASCIMENTO")</f>
        <v>ANTHONY TAYLOR MARTINS DO NASCIMENTO</v>
      </c>
      <c r="K155" s="95" t="str">
        <f>IFERROR(__xludf.DUMMYFUNCTION("""COMPUTED_VALUE"""),"608.940.818-29")</f>
        <v>608.940.818-29</v>
      </c>
      <c r="L155" s="104" t="str">
        <f>IFERROR(__xludf.DUMMYFUNCTION("""COMPUTED_VALUE"""),"23/02/2023")</f>
        <v>23/02/2023</v>
      </c>
      <c r="M155" s="104"/>
      <c r="N155" s="95" t="str">
        <f>IFERROR(__xludf.DUMMYFUNCTION("""COMPUTED_VALUE"""),"0")</f>
        <v>0</v>
      </c>
      <c r="O155" s="95"/>
      <c r="P155" s="95"/>
      <c r="Q155" s="95"/>
      <c r="R155" s="95"/>
      <c r="S155" s="95"/>
      <c r="T155" s="95"/>
      <c r="U155" s="95"/>
      <c r="V155" s="95"/>
      <c r="W155" s="95"/>
      <c r="X155" s="95"/>
      <c r="Y155" s="95"/>
      <c r="Z155" s="95"/>
      <c r="AA155" s="95"/>
      <c r="AB155" s="95"/>
      <c r="AC155" s="95"/>
    </row>
    <row r="156" ht="15.75" customHeight="1" spans="1:29">
      <c r="A156" s="95"/>
      <c r="B156" s="95" t="str">
        <f>VLOOKUP(C156,lista_id!$D$2:$F$152,3,0)</f>
        <v>REGIONAL 5</v>
      </c>
      <c r="C156" s="102" t="str">
        <f>IFERROR(__xludf.DUMMYFUNCTION("""COMPUTED_VALUE"""),"CEMEI PROFESSORA LINDOMAR DOMINGOS DA SILVA ANJOS")</f>
        <v>CEMEI PROFESSORA LINDOMAR DOMINGOS DA SILVA ANJOS</v>
      </c>
      <c r="D156" s="95" t="str">
        <f>IFERROR(__xludf.DUMMYFUNCTION("""COMPUTED_VALUE"""),"INFANTIL 3")</f>
        <v>INFANTIL 3</v>
      </c>
      <c r="E156" s="95" t="str">
        <f>IFERROR(__xludf.DUMMYFUNCTION("""COMPUTED_VALUE"""),"Integral")</f>
        <v>Integral</v>
      </c>
      <c r="F156" s="95" t="str">
        <f>IFERROR(__xludf.DUMMYFUNCTION("""COMPUTED_VALUE"""),"Comum")</f>
        <v>Comum</v>
      </c>
      <c r="G156" s="95" t="str">
        <f>IFERROR(__xludf.DUMMYFUNCTION("""COMPUTED_VALUE"""),"28")</f>
        <v>28</v>
      </c>
      <c r="H156" s="95" t="str">
        <f>IFERROR(__xludf.DUMMYFUNCTION("""COMPUTED_VALUE"""),"26052604683")</f>
        <v>26052604683</v>
      </c>
      <c r="I156" s="103" t="str">
        <f>IFERROR(__xludf.DUMMYFUNCTION("""COMPUTED_VALUE"""),"23/05/2026 20:29:57")</f>
        <v>23/05/2026 20:29:57</v>
      </c>
      <c r="J156" s="95" t="str">
        <f>IFERROR(__xludf.DUMMYFUNCTION("""COMPUTED_VALUE"""),"Hiago Mario Alves Tavares Mendes")</f>
        <v>Hiago Mario Alves Tavares Mendes</v>
      </c>
      <c r="K156" s="95" t="str">
        <f>IFERROR(__xludf.DUMMYFUNCTION("""COMPUTED_VALUE"""),"183.316.044-40")</f>
        <v>183.316.044-40</v>
      </c>
      <c r="L156" s="104" t="str">
        <f>IFERROR(__xludf.DUMMYFUNCTION("""COMPUTED_VALUE"""),"03/11/2022")</f>
        <v>03/11/2022</v>
      </c>
      <c r="M156" s="104"/>
      <c r="N156" s="95" t="str">
        <f>IFERROR(__xludf.DUMMYFUNCTION("""COMPUTED_VALUE"""),"0")</f>
        <v>0</v>
      </c>
      <c r="O156" s="95"/>
      <c r="P156" s="95"/>
      <c r="Q156" s="95"/>
      <c r="R156" s="95"/>
      <c r="S156" s="95"/>
      <c r="T156" s="95"/>
      <c r="U156" s="95"/>
      <c r="V156" s="95"/>
      <c r="W156" s="95"/>
      <c r="X156" s="95"/>
      <c r="Y156" s="95"/>
      <c r="Z156" s="95"/>
      <c r="AA156" s="95"/>
      <c r="AB156" s="95"/>
      <c r="AC156" s="95"/>
    </row>
    <row r="157" ht="15.75" customHeight="1" spans="1:29">
      <c r="A157" s="95"/>
      <c r="B157" s="95" t="str">
        <f>VLOOKUP(C157,lista_id!$D$2:$F$152,3,0)</f>
        <v>REGIONAL 5</v>
      </c>
      <c r="C157" s="102" t="str">
        <f>IFERROR(__xludf.DUMMYFUNCTION("""COMPUTED_VALUE"""),"CEMEI PROFESSORA LINDOMAR DOMINGOS DA SILVA ANJOS")</f>
        <v>CEMEI PROFESSORA LINDOMAR DOMINGOS DA SILVA ANJOS</v>
      </c>
      <c r="D157" s="95" t="str">
        <f>IFERROR(__xludf.DUMMYFUNCTION("""COMPUTED_VALUE"""),"INFANTIL 3")</f>
        <v>INFANTIL 3</v>
      </c>
      <c r="E157" s="95" t="str">
        <f>IFERROR(__xludf.DUMMYFUNCTION("""COMPUTED_VALUE"""),"Integral")</f>
        <v>Integral</v>
      </c>
      <c r="F157" s="95" t="str">
        <f>IFERROR(__xludf.DUMMYFUNCTION("""COMPUTED_VALUE"""),"Comum")</f>
        <v>Comum</v>
      </c>
      <c r="G157" s="95" t="str">
        <f>IFERROR(__xludf.DUMMYFUNCTION("""COMPUTED_VALUE"""),"29")</f>
        <v>29</v>
      </c>
      <c r="H157" s="95" t="str">
        <f>IFERROR(__xludf.DUMMYFUNCTION("""COMPUTED_VALUE"""),"26062798960")</f>
        <v>26062798960</v>
      </c>
      <c r="I157" s="103" t="str">
        <f>IFERROR(__xludf.DUMMYFUNCTION("""COMPUTED_VALUE"""),"01/06/2026 08:29:45")</f>
        <v>01/06/2026 08:29:45</v>
      </c>
      <c r="J157" s="95" t="str">
        <f>IFERROR(__xludf.DUMMYFUNCTION("""COMPUTED_VALUE"""),"BERNARDO DAVINO DE ARAÚJO")</f>
        <v>BERNARDO DAVINO DE ARAÚJO</v>
      </c>
      <c r="K157" s="95" t="str">
        <f>IFERROR(__xludf.DUMMYFUNCTION("""COMPUTED_VALUE"""),"182.453.294-60")</f>
        <v>182.453.294-60</v>
      </c>
      <c r="L157" s="104" t="str">
        <f>IFERROR(__xludf.DUMMYFUNCTION("""COMPUTED_VALUE"""),"29/07/2022")</f>
        <v>29/07/2022</v>
      </c>
      <c r="M157" s="104"/>
      <c r="N157" s="95" t="str">
        <f>IFERROR(__xludf.DUMMYFUNCTION("""COMPUTED_VALUE"""),"0")</f>
        <v>0</v>
      </c>
      <c r="O157" s="95"/>
      <c r="P157" s="95"/>
      <c r="Q157" s="95"/>
      <c r="R157" s="95"/>
      <c r="S157" s="95"/>
      <c r="T157" s="95"/>
      <c r="U157" s="95"/>
      <c r="V157" s="95"/>
      <c r="W157" s="95"/>
      <c r="X157" s="95"/>
      <c r="Y157" s="95"/>
      <c r="Z157" s="95"/>
      <c r="AA157" s="95"/>
      <c r="AB157" s="95"/>
      <c r="AC157" s="95"/>
    </row>
    <row r="158" ht="15.75" customHeight="1" spans="1:29">
      <c r="A158" s="95"/>
      <c r="B158" s="95" t="str">
        <f>VLOOKUP(C158,lista_id!$D$2:$F$152,3,0)</f>
        <v>REGIONAL 5</v>
      </c>
      <c r="C158" s="102" t="str">
        <f>IFERROR(__xludf.DUMMYFUNCTION("""COMPUTED_VALUE"""),"CEMEI PROFESSORA LINDOMAR DOMINGOS DA SILVA ANJOS")</f>
        <v>CEMEI PROFESSORA LINDOMAR DOMINGOS DA SILVA ANJOS</v>
      </c>
      <c r="D158" s="95" t="str">
        <f>IFERROR(__xludf.DUMMYFUNCTION("""COMPUTED_VALUE"""),"INFANTIL 4")</f>
        <v>INFANTIL 4</v>
      </c>
      <c r="E158" s="95" t="str">
        <f>IFERROR(__xludf.DUMMYFUNCTION("""COMPUTED_VALUE"""),"Vespertino/Tarde")</f>
        <v>Vespertino/Tarde</v>
      </c>
      <c r="F158" s="95" t="str">
        <f>IFERROR(__xludf.DUMMYFUNCTION("""COMPUTED_VALUE"""),"Comum")</f>
        <v>Comum</v>
      </c>
      <c r="G158" s="95" t="str">
        <f>IFERROR(__xludf.DUMMYFUNCTION("""COMPUTED_VALUE"""),"1")</f>
        <v>1</v>
      </c>
      <c r="H158" s="95" t="str">
        <f>IFERROR(__xludf.DUMMYFUNCTION("""COMPUTED_VALUE"""),"26022242652")</f>
        <v>26022242652</v>
      </c>
      <c r="I158" s="103" t="str">
        <f>IFERROR(__xludf.DUMMYFUNCTION("""COMPUTED_VALUE"""),"09/02/2026 10:22:56")</f>
        <v>09/02/2026 10:22:56</v>
      </c>
      <c r="J158" s="95" t="str">
        <f>IFERROR(__xludf.DUMMYFUNCTION("""COMPUTED_VALUE"""),"AYLLA VITÓRIA CAETANO DOS SANTOS")</f>
        <v>AYLLA VITÓRIA CAETANO DOS SANTOS</v>
      </c>
      <c r="K158" s="95" t="str">
        <f>IFERROR(__xludf.DUMMYFUNCTION("""COMPUTED_VALUE"""),"179.902.954-90")</f>
        <v>179.902.954-90</v>
      </c>
      <c r="L158" s="104" t="str">
        <f>IFERROR(__xludf.DUMMYFUNCTION("""COMPUTED_VALUE"""),"06/10/2021")</f>
        <v>06/10/2021</v>
      </c>
      <c r="M158" s="104"/>
      <c r="N158" s="95" t="str">
        <f>IFERROR(__xludf.DUMMYFUNCTION("""COMPUTED_VALUE"""),"0")</f>
        <v>0</v>
      </c>
      <c r="O158" s="95"/>
      <c r="P158" s="95"/>
      <c r="Q158" s="95"/>
      <c r="R158" s="95"/>
      <c r="S158" s="95"/>
      <c r="T158" s="95"/>
      <c r="U158" s="95"/>
      <c r="V158" s="95"/>
      <c r="W158" s="95"/>
      <c r="X158" s="95"/>
      <c r="Y158" s="95"/>
      <c r="Z158" s="95"/>
      <c r="AA158" s="95"/>
      <c r="AB158" s="95"/>
      <c r="AC158" s="95"/>
    </row>
    <row r="159" ht="15.75" customHeight="1" spans="1:29">
      <c r="A159" s="95"/>
      <c r="B159" s="95" t="str">
        <f>VLOOKUP(C159,lista_id!$D$2:$F$152,3,0)</f>
        <v>REGIONAL 5</v>
      </c>
      <c r="C159" s="102" t="str">
        <f>IFERROR(__xludf.DUMMYFUNCTION("""COMPUTED_VALUE"""),"CEMEI PROFESSORA LINDOMAR DOMINGOS DA SILVA ANJOS")</f>
        <v>CEMEI PROFESSORA LINDOMAR DOMINGOS DA SILVA ANJOS</v>
      </c>
      <c r="D159" s="95" t="str">
        <f>IFERROR(__xludf.DUMMYFUNCTION("""COMPUTED_VALUE"""),"INFANTIL 4")</f>
        <v>INFANTIL 4</v>
      </c>
      <c r="E159" s="95" t="str">
        <f>IFERROR(__xludf.DUMMYFUNCTION("""COMPUTED_VALUE"""),"Vespertino/Tarde")</f>
        <v>Vespertino/Tarde</v>
      </c>
      <c r="F159" s="95" t="str">
        <f>IFERROR(__xludf.DUMMYFUNCTION("""COMPUTED_VALUE"""),"Comum")</f>
        <v>Comum</v>
      </c>
      <c r="G159" s="95" t="str">
        <f>IFERROR(__xludf.DUMMYFUNCTION("""COMPUTED_VALUE"""),"2")</f>
        <v>2</v>
      </c>
      <c r="H159" s="95" t="str">
        <f>IFERROR(__xludf.DUMMYFUNCTION("""COMPUTED_VALUE"""),"26022802511")</f>
        <v>26022802511</v>
      </c>
      <c r="I159" s="103" t="str">
        <f>IFERROR(__xludf.DUMMYFUNCTION("""COMPUTED_VALUE"""),"24/02/2026 13:46:16")</f>
        <v>24/02/2026 13:46:16</v>
      </c>
      <c r="J159" s="95" t="str">
        <f>IFERROR(__xludf.DUMMYFUNCTION("""COMPUTED_VALUE"""),"RAVI DANIEL DE SOUZA BARROS")</f>
        <v>RAVI DANIEL DE SOUZA BARROS</v>
      </c>
      <c r="K159" s="95" t="str">
        <f>IFERROR(__xludf.DUMMYFUNCTION("""COMPUTED_VALUE"""),"178.396.974-10")</f>
        <v>178.396.974-10</v>
      </c>
      <c r="L159" s="104" t="str">
        <f>IFERROR(__xludf.DUMMYFUNCTION("""COMPUTED_VALUE"""),"22/08/2021")</f>
        <v>22/08/2021</v>
      </c>
      <c r="M159" s="104"/>
      <c r="N159" s="95" t="str">
        <f>IFERROR(__xludf.DUMMYFUNCTION("""COMPUTED_VALUE"""),"0")</f>
        <v>0</v>
      </c>
      <c r="O159" s="95"/>
      <c r="P159" s="95"/>
      <c r="Q159" s="95"/>
      <c r="R159" s="95"/>
      <c r="S159" s="95"/>
      <c r="T159" s="95"/>
      <c r="U159" s="95"/>
      <c r="V159" s="95"/>
      <c r="W159" s="95"/>
      <c r="X159" s="95"/>
      <c r="Y159" s="95"/>
      <c r="Z159" s="95"/>
      <c r="AA159" s="95"/>
      <c r="AB159" s="95"/>
      <c r="AC159" s="95"/>
    </row>
    <row r="160" ht="15.75" customHeight="1" spans="1:29">
      <c r="A160" s="95"/>
      <c r="B160" s="95" t="str">
        <f>VLOOKUP(C160,lista_id!$D$2:$F$152,3,0)</f>
        <v>REGIONAL 5</v>
      </c>
      <c r="C160" s="102" t="str">
        <f>IFERROR(__xludf.DUMMYFUNCTION("""COMPUTED_VALUE"""),"CEMEI PROFESSORA LINDOMAR DOMINGOS DA SILVA ANJOS")</f>
        <v>CEMEI PROFESSORA LINDOMAR DOMINGOS DA SILVA ANJOS</v>
      </c>
      <c r="D160" s="95" t="str">
        <f>IFERROR(__xludf.DUMMYFUNCTION("""COMPUTED_VALUE"""),"INFANTIL 4")</f>
        <v>INFANTIL 4</v>
      </c>
      <c r="E160" s="95" t="str">
        <f>IFERROR(__xludf.DUMMYFUNCTION("""COMPUTED_VALUE"""),"Vespertino/Tarde")</f>
        <v>Vespertino/Tarde</v>
      </c>
      <c r="F160" s="95" t="str">
        <f>IFERROR(__xludf.DUMMYFUNCTION("""COMPUTED_VALUE"""),"Comum")</f>
        <v>Comum</v>
      </c>
      <c r="G160" s="95" t="str">
        <f>IFERROR(__xludf.DUMMYFUNCTION("""COMPUTED_VALUE"""),"3")</f>
        <v>3</v>
      </c>
      <c r="H160" s="95" t="str">
        <f>IFERROR(__xludf.DUMMYFUNCTION("""COMPUTED_VALUE"""),"26032136926")</f>
        <v>26032136926</v>
      </c>
      <c r="I160" s="105" t="str">
        <f>IFERROR(__xludf.DUMMYFUNCTION("""COMPUTED_VALUE"""),"05/03/2026 16:16:54")</f>
        <v>05/03/2026 16:16:54</v>
      </c>
      <c r="J160" s="95" t="str">
        <f>IFERROR(__xludf.DUMMYFUNCTION("""COMPUTED_VALUE"""),"JOAO GABRIEL DE OLIVEIRA")</f>
        <v>JOAO GABRIEL DE OLIVEIRA</v>
      </c>
      <c r="K160" s="95" t="str">
        <f>IFERROR(__xludf.DUMMYFUNCTION("""COMPUTED_VALUE"""),"178.328.754-37")</f>
        <v>178.328.754-37</v>
      </c>
      <c r="L160" s="104" t="str">
        <f>IFERROR(__xludf.DUMMYFUNCTION("""COMPUTED_VALUE"""),"17/09/2021")</f>
        <v>17/09/2021</v>
      </c>
      <c r="M160" s="104"/>
      <c r="N160" s="95" t="str">
        <f>IFERROR(__xludf.DUMMYFUNCTION("""COMPUTED_VALUE"""),"0")</f>
        <v>0</v>
      </c>
      <c r="O160" s="95"/>
      <c r="P160" s="95"/>
      <c r="Q160" s="95"/>
      <c r="R160" s="95"/>
      <c r="S160" s="95"/>
      <c r="T160" s="95"/>
      <c r="U160" s="95"/>
      <c r="V160" s="95"/>
      <c r="W160" s="95"/>
      <c r="X160" s="95"/>
      <c r="Y160" s="95"/>
      <c r="Z160" s="95"/>
      <c r="AA160" s="95"/>
      <c r="AB160" s="95"/>
      <c r="AC160" s="95"/>
    </row>
    <row r="161" ht="15.75" customHeight="1" spans="1:29">
      <c r="A161" s="95"/>
      <c r="B161" s="95" t="str">
        <f>VLOOKUP(C161,lista_id!$D$2:$F$152,3,0)</f>
        <v>REGIONAL 5</v>
      </c>
      <c r="C161" s="102" t="str">
        <f>IFERROR(__xludf.DUMMYFUNCTION("""COMPUTED_VALUE"""),"CEMEI PROFESSORA LINDOMAR DOMINGOS DA SILVA ANJOS")</f>
        <v>CEMEI PROFESSORA LINDOMAR DOMINGOS DA SILVA ANJOS</v>
      </c>
      <c r="D161" s="95" t="str">
        <f>IFERROR(__xludf.DUMMYFUNCTION("""COMPUTED_VALUE"""),"INFANTIL 5")</f>
        <v>INFANTIL 5</v>
      </c>
      <c r="E161" s="95" t="str">
        <f>IFERROR(__xludf.DUMMYFUNCTION("""COMPUTED_VALUE"""),"Vespertino/Tarde")</f>
        <v>Vespertino/Tarde</v>
      </c>
      <c r="F161" s="95" t="str">
        <f>IFERROR(__xludf.DUMMYFUNCTION("""COMPUTED_VALUE"""),"Comum")</f>
        <v>Comum</v>
      </c>
      <c r="G161" s="95" t="str">
        <f>IFERROR(__xludf.DUMMYFUNCTION("""COMPUTED_VALUE"""),"1")</f>
        <v>1</v>
      </c>
      <c r="H161" s="95" t="str">
        <f>IFERROR(__xludf.DUMMYFUNCTION("""COMPUTED_VALUE"""),"26022483035")</f>
        <v>26022483035</v>
      </c>
      <c r="I161" s="105" t="str">
        <f>IFERROR(__xludf.DUMMYFUNCTION("""COMPUTED_VALUE"""),"09/02/2026 13:52:52")</f>
        <v>09/02/2026 13:52:52</v>
      </c>
      <c r="J161" s="95" t="str">
        <f>IFERROR(__xludf.DUMMYFUNCTION("""COMPUTED_VALUE"""),"HENZO MIGUEL DOS ANJOS")</f>
        <v>HENZO MIGUEL DOS ANJOS</v>
      </c>
      <c r="K161" s="95" t="str">
        <f>IFERROR(__xludf.DUMMYFUNCTION("""COMPUTED_VALUE"""),"172.336.204-23")</f>
        <v>172.336.204-23</v>
      </c>
      <c r="L161" s="106" t="str">
        <f>IFERROR(__xludf.DUMMYFUNCTION("""COMPUTED_VALUE"""),"20/05/2020")</f>
        <v>20/05/2020</v>
      </c>
      <c r="M161" s="106"/>
      <c r="N161" s="95" t="str">
        <f>IFERROR(__xludf.DUMMYFUNCTION("""COMPUTED_VALUE"""),"0")</f>
        <v>0</v>
      </c>
      <c r="O161" s="95"/>
      <c r="P161" s="95"/>
      <c r="Q161" s="95"/>
      <c r="R161" s="95"/>
      <c r="S161" s="95"/>
      <c r="T161" s="95"/>
      <c r="U161" s="95"/>
      <c r="V161" s="95"/>
      <c r="W161" s="95"/>
      <c r="X161" s="95"/>
      <c r="Y161" s="95"/>
      <c r="Z161" s="95"/>
      <c r="AA161" s="95"/>
      <c r="AB161" s="95"/>
      <c r="AC161" s="95"/>
    </row>
    <row r="162" ht="15.75" customHeight="1" spans="1:29">
      <c r="A162" s="95"/>
      <c r="B162" s="95" t="str">
        <f>VLOOKUP(C162,lista_id!$D$2:$F$152,3,0)</f>
        <v>REGIONAL 5</v>
      </c>
      <c r="C162" s="102" t="str">
        <f>IFERROR(__xludf.DUMMYFUNCTION("""COMPUTED_VALUE"""),"CEMEI PROFESSORA LINDOMAR DOMINGOS DA SILVA ANJOS")</f>
        <v>CEMEI PROFESSORA LINDOMAR DOMINGOS DA SILVA ANJOS</v>
      </c>
      <c r="D162" s="95" t="str">
        <f>IFERROR(__xludf.DUMMYFUNCTION("""COMPUTED_VALUE"""),"INFANTIL 5")</f>
        <v>INFANTIL 5</v>
      </c>
      <c r="E162" s="95" t="str">
        <f>IFERROR(__xludf.DUMMYFUNCTION("""COMPUTED_VALUE"""),"Vespertino/Tarde")</f>
        <v>Vespertino/Tarde</v>
      </c>
      <c r="F162" s="95" t="str">
        <f>IFERROR(__xludf.DUMMYFUNCTION("""COMPUTED_VALUE"""),"Comum")</f>
        <v>Comum</v>
      </c>
      <c r="G162" s="95" t="str">
        <f>IFERROR(__xludf.DUMMYFUNCTION("""COMPUTED_VALUE"""),"2")</f>
        <v>2</v>
      </c>
      <c r="H162" s="95" t="str">
        <f>IFERROR(__xludf.DUMMYFUNCTION("""COMPUTED_VALUE"""),"26032952221")</f>
        <v>26032952221</v>
      </c>
      <c r="I162" s="105" t="str">
        <f>IFERROR(__xludf.DUMMYFUNCTION("""COMPUTED_VALUE"""),"02/03/2026 13:50:42")</f>
        <v>02/03/2026 13:50:42</v>
      </c>
      <c r="J162" s="95" t="str">
        <f>IFERROR(__xludf.DUMMYFUNCTION("""COMPUTED_VALUE"""),"INGRED VITORIA ANACLETO DA SILVA")</f>
        <v>INGRED VITORIA ANACLETO DA SILVA</v>
      </c>
      <c r="K162" s="95" t="str">
        <f>IFERROR(__xludf.DUMMYFUNCTION("""COMPUTED_VALUE"""),"175.189.954-33")</f>
        <v>175.189.954-33</v>
      </c>
      <c r="L162" s="106" t="str">
        <f>IFERROR(__xludf.DUMMYFUNCTION("""COMPUTED_VALUE"""),"25/10/2020")</f>
        <v>25/10/2020</v>
      </c>
      <c r="M162" s="104"/>
      <c r="N162" s="95" t="str">
        <f>IFERROR(__xludf.DUMMYFUNCTION("""COMPUTED_VALUE"""),"0")</f>
        <v>0</v>
      </c>
      <c r="O162" s="95"/>
      <c r="P162" s="95"/>
      <c r="Q162" s="95"/>
      <c r="R162" s="95"/>
      <c r="S162" s="95"/>
      <c r="T162" s="95"/>
      <c r="U162" s="95"/>
      <c r="V162" s="95"/>
      <c r="W162" s="95"/>
      <c r="X162" s="95"/>
      <c r="Y162" s="95"/>
      <c r="Z162" s="95"/>
      <c r="AA162" s="95"/>
      <c r="AB162" s="95"/>
      <c r="AC162" s="95"/>
    </row>
    <row r="163" ht="15.75" customHeight="1" spans="1:29">
      <c r="A163" s="95"/>
      <c r="B163" s="95" t="str">
        <f>VLOOKUP(C163,lista_id!$D$2:$F$152,3,0)</f>
        <v>REGIONAL 5</v>
      </c>
      <c r="C163" s="102" t="str">
        <f>IFERROR(__xludf.DUMMYFUNCTION("""COMPUTED_VALUE"""),"CEMEI PROFESSORA LINDOMAR DOMINGOS DA SILVA ANJOS")</f>
        <v>CEMEI PROFESSORA LINDOMAR DOMINGOS DA SILVA ANJOS</v>
      </c>
      <c r="D163" s="95" t="str">
        <f>IFERROR(__xludf.DUMMYFUNCTION("""COMPUTED_VALUE"""),"INFANTIL 5")</f>
        <v>INFANTIL 5</v>
      </c>
      <c r="E163" s="95" t="str">
        <f>IFERROR(__xludf.DUMMYFUNCTION("""COMPUTED_VALUE"""),"Vespertino/Tarde")</f>
        <v>Vespertino/Tarde</v>
      </c>
      <c r="F163" s="95" t="str">
        <f>IFERROR(__xludf.DUMMYFUNCTION("""COMPUTED_VALUE"""),"Comum")</f>
        <v>Comum</v>
      </c>
      <c r="G163" s="95" t="str">
        <f>IFERROR(__xludf.DUMMYFUNCTION("""COMPUTED_VALUE"""),"3")</f>
        <v>3</v>
      </c>
      <c r="H163" s="95" t="str">
        <f>IFERROR(__xludf.DUMMYFUNCTION("""COMPUTED_VALUE"""),"26032749886")</f>
        <v>26032749886</v>
      </c>
      <c r="I163" s="105" t="str">
        <f>IFERROR(__xludf.DUMMYFUNCTION("""COMPUTED_VALUE"""),"02/03/2026 14:01:53")</f>
        <v>02/03/2026 14:01:53</v>
      </c>
      <c r="J163" s="95" t="str">
        <f>IFERROR(__xludf.DUMMYFUNCTION("""COMPUTED_VALUE"""),"RAVI PIETRO TAVARES DO NASCIMENTO")</f>
        <v>RAVI PIETRO TAVARES DO NASCIMENTO</v>
      </c>
      <c r="K163" s="95" t="str">
        <f>IFERROR(__xludf.DUMMYFUNCTION("""COMPUTED_VALUE"""),"176.300.424-42")</f>
        <v>176.300.424-42</v>
      </c>
      <c r="L163" s="104" t="str">
        <f>IFERROR(__xludf.DUMMYFUNCTION("""COMPUTED_VALUE"""),"28/12/2020")</f>
        <v>28/12/2020</v>
      </c>
      <c r="M163" s="106"/>
      <c r="N163" s="95" t="str">
        <f>IFERROR(__xludf.DUMMYFUNCTION("""COMPUTED_VALUE"""),"0")</f>
        <v>0</v>
      </c>
      <c r="O163" s="95"/>
      <c r="P163" s="95"/>
      <c r="Q163" s="95"/>
      <c r="R163" s="95"/>
      <c r="S163" s="95"/>
      <c r="T163" s="95"/>
      <c r="U163" s="95"/>
      <c r="V163" s="95"/>
      <c r="W163" s="95"/>
      <c r="X163" s="95"/>
      <c r="Y163" s="95"/>
      <c r="Z163" s="95"/>
      <c r="AA163" s="95"/>
      <c r="AB163" s="95"/>
      <c r="AC163" s="95"/>
    </row>
    <row r="164" ht="15.75" customHeight="1" spans="1:29">
      <c r="A164" s="95"/>
      <c r="B164" s="95" t="str">
        <f>VLOOKUP(C164,lista_id!$D$2:$F$152,3,0)</f>
        <v>REGIONAL 5</v>
      </c>
      <c r="C164" s="102" t="str">
        <f>IFERROR(__xludf.DUMMYFUNCTION("""COMPUTED_VALUE"""),"CEMEI PROFESSORA LINDOMAR DOMINGOS DA SILVA ANJOS")</f>
        <v>CEMEI PROFESSORA LINDOMAR DOMINGOS DA SILVA ANJOS</v>
      </c>
      <c r="D164" s="95" t="str">
        <f>IFERROR(__xludf.DUMMYFUNCTION("""COMPUTED_VALUE"""),"INFANTIL 5")</f>
        <v>INFANTIL 5</v>
      </c>
      <c r="E164" s="95" t="str">
        <f>IFERROR(__xludf.DUMMYFUNCTION("""COMPUTED_VALUE"""),"Vespertino/Tarde")</f>
        <v>Vespertino/Tarde</v>
      </c>
      <c r="F164" s="95" t="str">
        <f>IFERROR(__xludf.DUMMYFUNCTION("""COMPUTED_VALUE"""),"Comum")</f>
        <v>Comum</v>
      </c>
      <c r="G164" s="95" t="str">
        <f>IFERROR(__xludf.DUMMYFUNCTION("""COMPUTED_VALUE"""),"4")</f>
        <v>4</v>
      </c>
      <c r="H164" s="95" t="str">
        <f>IFERROR(__xludf.DUMMYFUNCTION("""COMPUTED_VALUE"""),"26032756557")</f>
        <v>26032756557</v>
      </c>
      <c r="I164" s="105" t="str">
        <f>IFERROR(__xludf.DUMMYFUNCTION("""COMPUTED_VALUE"""),"16/03/2026 12:40:48")</f>
        <v>16/03/2026 12:40:48</v>
      </c>
      <c r="J164" s="95" t="str">
        <f>IFERROR(__xludf.DUMMYFUNCTION("""COMPUTED_VALUE"""),"ARTHUR MIGUEL GOMES DE LUNA")</f>
        <v>ARTHUR MIGUEL GOMES DE LUNA</v>
      </c>
      <c r="K164" s="95" t="str">
        <f>IFERROR(__xludf.DUMMYFUNCTION("""COMPUTED_VALUE"""),"171.407.834-54")</f>
        <v>171.407.834-54</v>
      </c>
      <c r="L164" s="104" t="str">
        <f>IFERROR(__xludf.DUMMYFUNCTION("""COMPUTED_VALUE"""),"14/04/2020")</f>
        <v>14/04/2020</v>
      </c>
      <c r="M164" s="104"/>
      <c r="N164" s="95" t="str">
        <f>IFERROR(__xludf.DUMMYFUNCTION("""COMPUTED_VALUE"""),"0")</f>
        <v>0</v>
      </c>
      <c r="O164" s="95"/>
      <c r="P164" s="95"/>
      <c r="Q164" s="95"/>
      <c r="R164" s="95"/>
      <c r="S164" s="95"/>
      <c r="T164" s="95"/>
      <c r="U164" s="95"/>
      <c r="V164" s="95"/>
      <c r="W164" s="95"/>
      <c r="X164" s="95"/>
      <c r="Y164" s="95"/>
      <c r="Z164" s="95"/>
      <c r="AA164" s="95"/>
      <c r="AB164" s="95"/>
      <c r="AC164" s="95"/>
    </row>
    <row r="165" ht="15.75" customHeight="1" spans="1:29">
      <c r="A165" s="95"/>
      <c r="B165" s="95" t="str">
        <f>VLOOKUP(C165,lista_id!$D$2:$F$152,3,0)</f>
        <v>REGIONAL 5</v>
      </c>
      <c r="C165" s="102" t="str">
        <f>IFERROR(__xludf.DUMMYFUNCTION("""COMPUTED_VALUE"""),"CEMEI PROFESSORA MARIA DE FÁTIMA DA SILVA")</f>
        <v>CEMEI PROFESSORA MARIA DE FÁTIMA DA SILVA</v>
      </c>
      <c r="D165" s="95" t="str">
        <f>IFERROR(__xludf.DUMMYFUNCTION("""COMPUTED_VALUE"""),"INFANTIL 5")</f>
        <v>INFANTIL 5</v>
      </c>
      <c r="E165" s="95" t="str">
        <f>IFERROR(__xludf.DUMMYFUNCTION("""COMPUTED_VALUE"""),"Vespertino/Tarde")</f>
        <v>Vespertino/Tarde</v>
      </c>
      <c r="F165" s="95" t="str">
        <f>IFERROR(__xludf.DUMMYFUNCTION("""COMPUTED_VALUE"""),"Comum")</f>
        <v>Comum</v>
      </c>
      <c r="G165" s="95" t="str">
        <f>IFERROR(__xludf.DUMMYFUNCTION("""COMPUTED_VALUE"""),"1")</f>
        <v>1</v>
      </c>
      <c r="H165" s="95" t="str">
        <f>IFERROR(__xludf.DUMMYFUNCTION("""COMPUTED_VALUE"""),"26032134142")</f>
        <v>26032134142</v>
      </c>
      <c r="I165" s="105" t="str">
        <f>IFERROR(__xludf.DUMMYFUNCTION("""COMPUTED_VALUE"""),"11/03/2026 11:26:36")</f>
        <v>11/03/2026 11:26:36</v>
      </c>
      <c r="J165" s="95" t="str">
        <f>IFERROR(__xludf.DUMMYFUNCTION("""COMPUTED_VALUE"""),"JOAQUIM BENICIO FERREIRA GOMES")</f>
        <v>JOAQUIM BENICIO FERREIRA GOMES</v>
      </c>
      <c r="K165" s="95" t="str">
        <f>IFERROR(__xludf.DUMMYFUNCTION("""COMPUTED_VALUE"""),"171.551.144-13")</f>
        <v>171.551.144-13</v>
      </c>
      <c r="L165" s="104" t="str">
        <f>IFERROR(__xludf.DUMMYFUNCTION("""COMPUTED_VALUE"""),"16/04/2020")</f>
        <v>16/04/2020</v>
      </c>
      <c r="M165" s="104"/>
      <c r="N165" s="95" t="str">
        <f>IFERROR(__xludf.DUMMYFUNCTION("""COMPUTED_VALUE"""),"0")</f>
        <v>0</v>
      </c>
      <c r="O165" s="95"/>
      <c r="P165" s="95"/>
      <c r="Q165" s="95"/>
      <c r="R165" s="95"/>
      <c r="S165" s="95"/>
      <c r="T165" s="95"/>
      <c r="U165" s="95"/>
      <c r="V165" s="95"/>
      <c r="W165" s="95"/>
      <c r="X165" s="95"/>
      <c r="Y165" s="95"/>
      <c r="Z165" s="95"/>
      <c r="AA165" s="95"/>
      <c r="AB165" s="95"/>
      <c r="AC165" s="95"/>
    </row>
    <row r="166" ht="15.75" customHeight="1" spans="1:29">
      <c r="A166" s="95"/>
      <c r="B166" s="95" t="str">
        <f>VLOOKUP(C166,lista_id!$D$2:$F$152,3,0)</f>
        <v>REGIONAL 6</v>
      </c>
      <c r="C166" s="102" t="str">
        <f>IFERROR(__xludf.DUMMYFUNCTION("""COMPUTED_VALUE"""),"CEMEI PROFESSORA MARLUCIA EVANGELISTA DE SOUZA")</f>
        <v>CEMEI PROFESSORA MARLUCIA EVANGELISTA DE SOUZA</v>
      </c>
      <c r="D166" s="95" t="str">
        <f>IFERROR(__xludf.DUMMYFUNCTION("""COMPUTED_VALUE"""),"INFANTIL 3")</f>
        <v>INFANTIL 3</v>
      </c>
      <c r="E166" s="95" t="str">
        <f>IFERROR(__xludf.DUMMYFUNCTION("""COMPUTED_VALUE"""),"Matutino/Manhã")</f>
        <v>Matutino/Manhã</v>
      </c>
      <c r="F166" s="95" t="str">
        <f>IFERROR(__xludf.DUMMYFUNCTION("""COMPUTED_VALUE"""),"Comum")</f>
        <v>Comum</v>
      </c>
      <c r="G166" s="95" t="str">
        <f>IFERROR(__xludf.DUMMYFUNCTION("""COMPUTED_VALUE"""),"1")</f>
        <v>1</v>
      </c>
      <c r="H166" s="95" t="str">
        <f>IFERROR(__xludf.DUMMYFUNCTION("""COMPUTED_VALUE"""),"26022435909")</f>
        <v>26022435909</v>
      </c>
      <c r="I166" s="105" t="str">
        <f>IFERROR(__xludf.DUMMYFUNCTION("""COMPUTED_VALUE"""),"24/02/2026 14:04:38")</f>
        <v>24/02/2026 14:04:38</v>
      </c>
      <c r="J166" s="95" t="str">
        <f>IFERROR(__xludf.DUMMYFUNCTION("""COMPUTED_VALUE"""),"JOAO MIGUEL FRAZAO DA SILVA")</f>
        <v>JOAO MIGUEL FRAZAO DA SILVA</v>
      </c>
      <c r="K166" s="95" t="str">
        <f>IFERROR(__xludf.DUMMYFUNCTION("""COMPUTED_VALUE"""),"185.844.714-30")</f>
        <v>185.844.714-30</v>
      </c>
      <c r="L166" s="104" t="str">
        <f>IFERROR(__xludf.DUMMYFUNCTION("""COMPUTED_VALUE"""),"01/11/2022")</f>
        <v>01/11/2022</v>
      </c>
      <c r="M166" s="104"/>
      <c r="N166" s="95" t="str">
        <f>IFERROR(__xludf.DUMMYFUNCTION("""COMPUTED_VALUE"""),"0")</f>
        <v>0</v>
      </c>
      <c r="O166" s="95"/>
      <c r="P166" s="95"/>
      <c r="Q166" s="95"/>
      <c r="R166" s="95"/>
      <c r="S166" s="95"/>
      <c r="T166" s="95"/>
      <c r="U166" s="95"/>
      <c r="V166" s="95"/>
      <c r="W166" s="95"/>
      <c r="X166" s="95"/>
      <c r="Y166" s="95"/>
      <c r="Z166" s="95"/>
      <c r="AA166" s="95"/>
      <c r="AB166" s="95"/>
      <c r="AC166" s="95"/>
    </row>
    <row r="167" ht="15.75" customHeight="1" spans="1:29">
      <c r="A167" s="95"/>
      <c r="B167" s="95" t="str">
        <f>VLOOKUP(C167,lista_id!$D$2:$F$152,3,0)</f>
        <v>REGIONAL 6</v>
      </c>
      <c r="C167" s="102" t="str">
        <f>IFERROR(__xludf.DUMMYFUNCTION("""COMPUTED_VALUE"""),"CEMEI PROFESSORA MARLUCIA EVANGELISTA DE SOUZA")</f>
        <v>CEMEI PROFESSORA MARLUCIA EVANGELISTA DE SOUZA</v>
      </c>
      <c r="D167" s="95" t="str">
        <f>IFERROR(__xludf.DUMMYFUNCTION("""COMPUTED_VALUE"""),"INFANTIL 3")</f>
        <v>INFANTIL 3</v>
      </c>
      <c r="E167" s="95" t="str">
        <f>IFERROR(__xludf.DUMMYFUNCTION("""COMPUTED_VALUE"""),"Matutino/Manhã")</f>
        <v>Matutino/Manhã</v>
      </c>
      <c r="F167" s="95" t="str">
        <f>IFERROR(__xludf.DUMMYFUNCTION("""COMPUTED_VALUE"""),"Comum")</f>
        <v>Comum</v>
      </c>
      <c r="G167" s="95" t="str">
        <f>IFERROR(__xludf.DUMMYFUNCTION("""COMPUTED_VALUE"""),"2")</f>
        <v>2</v>
      </c>
      <c r="H167" s="95" t="str">
        <f>IFERROR(__xludf.DUMMYFUNCTION("""COMPUTED_VALUE"""),"26032293100")</f>
        <v>26032293100</v>
      </c>
      <c r="I167" s="105" t="str">
        <f>IFERROR(__xludf.DUMMYFUNCTION("""COMPUTED_VALUE"""),"26/03/2026 11:14:13")</f>
        <v>26/03/2026 11:14:13</v>
      </c>
      <c r="J167" s="95" t="str">
        <f>IFERROR(__xludf.DUMMYFUNCTION("""COMPUTED_VALUE"""),"ENZO GABRIEL MENDONÇA DO NASCIMENTO")</f>
        <v>ENZO GABRIEL MENDONÇA DO NASCIMENTO</v>
      </c>
      <c r="K167" s="95" t="str">
        <f>IFERROR(__xludf.DUMMYFUNCTION("""COMPUTED_VALUE"""),"183.493.574-10")</f>
        <v>183.493.574-10</v>
      </c>
      <c r="L167" s="104" t="str">
        <f>IFERROR(__xludf.DUMMYFUNCTION("""COMPUTED_VALUE"""),"19/11/2022")</f>
        <v>19/11/2022</v>
      </c>
      <c r="M167" s="104"/>
      <c r="N167" s="95" t="str">
        <f>IFERROR(__xludf.DUMMYFUNCTION("""COMPUTED_VALUE"""),"0")</f>
        <v>0</v>
      </c>
      <c r="O167" s="95"/>
      <c r="P167" s="95"/>
      <c r="Q167" s="95"/>
      <c r="R167" s="95"/>
      <c r="S167" s="95"/>
      <c r="T167" s="95"/>
      <c r="U167" s="95"/>
      <c r="V167" s="95"/>
      <c r="W167" s="95"/>
      <c r="X167" s="95"/>
      <c r="Y167" s="95"/>
      <c r="Z167" s="95"/>
      <c r="AA167" s="95"/>
      <c r="AB167" s="95"/>
      <c r="AC167" s="95"/>
    </row>
    <row r="168" ht="15.75" customHeight="1" spans="1:29">
      <c r="A168" s="95"/>
      <c r="B168" s="95" t="str">
        <f>VLOOKUP(C168,lista_id!$D$2:$F$152,3,0)</f>
        <v>REGIONAL 6</v>
      </c>
      <c r="C168" s="102" t="str">
        <f>IFERROR(__xludf.DUMMYFUNCTION("""COMPUTED_VALUE"""),"CEMEI PROFESSORA MARLUCIA EVANGELISTA DE SOUZA")</f>
        <v>CEMEI PROFESSORA MARLUCIA EVANGELISTA DE SOUZA</v>
      </c>
      <c r="D168" s="95" t="str">
        <f>IFERROR(__xludf.DUMMYFUNCTION("""COMPUTED_VALUE"""),"INFANTIL 3")</f>
        <v>INFANTIL 3</v>
      </c>
      <c r="E168" s="95" t="str">
        <f>IFERROR(__xludf.DUMMYFUNCTION("""COMPUTED_VALUE"""),"Matutino/Manhã")</f>
        <v>Matutino/Manhã</v>
      </c>
      <c r="F168" s="95" t="str">
        <f>IFERROR(__xludf.DUMMYFUNCTION("""COMPUTED_VALUE"""),"Comum")</f>
        <v>Comum</v>
      </c>
      <c r="G168" s="95" t="str">
        <f>IFERROR(__xludf.DUMMYFUNCTION("""COMPUTED_VALUE"""),"3")</f>
        <v>3</v>
      </c>
      <c r="H168" s="95" t="str">
        <f>IFERROR(__xludf.DUMMYFUNCTION("""COMPUTED_VALUE"""),"26032185977")</f>
        <v>26032185977</v>
      </c>
      <c r="I168" s="105" t="str">
        <f>IFERROR(__xludf.DUMMYFUNCTION("""COMPUTED_VALUE"""),"27/03/2026 08:54:52")</f>
        <v>27/03/2026 08:54:52</v>
      </c>
      <c r="J168" s="95" t="str">
        <f>IFERROR(__xludf.DUMMYFUNCTION("""COMPUTED_VALUE"""),"MARIA HELLENA DA SILVA LIMA")</f>
        <v>MARIA HELLENA DA SILVA LIMA</v>
      </c>
      <c r="K168" s="95" t="str">
        <f>IFERROR(__xludf.DUMMYFUNCTION("""COMPUTED_VALUE"""),"183.573.784-63")</f>
        <v>183.573.784-63</v>
      </c>
      <c r="L168" s="104" t="str">
        <f>IFERROR(__xludf.DUMMYFUNCTION("""COMPUTED_VALUE"""),"11/05/2022")</f>
        <v>11/05/2022</v>
      </c>
      <c r="M168" s="104"/>
      <c r="N168" s="95" t="str">
        <f>IFERROR(__xludf.DUMMYFUNCTION("""COMPUTED_VALUE"""),"0")</f>
        <v>0</v>
      </c>
      <c r="O168" s="95"/>
      <c r="P168" s="95"/>
      <c r="Q168" s="95"/>
      <c r="R168" s="95"/>
      <c r="S168" s="95"/>
      <c r="T168" s="95"/>
      <c r="U168" s="95"/>
      <c r="V168" s="95"/>
      <c r="W168" s="95"/>
      <c r="X168" s="95"/>
      <c r="Y168" s="95"/>
      <c r="Z168" s="95"/>
      <c r="AA168" s="95"/>
      <c r="AB168" s="95"/>
      <c r="AC168" s="95"/>
    </row>
    <row r="169" ht="15.75" customHeight="1" spans="1:29">
      <c r="A169" s="95"/>
      <c r="B169" s="95" t="str">
        <f>VLOOKUP(C169,lista_id!$D$2:$F$152,3,0)</f>
        <v>REGIONAL 6</v>
      </c>
      <c r="C169" s="102" t="str">
        <f>IFERROR(__xludf.DUMMYFUNCTION("""COMPUTED_VALUE"""),"CEMEI PROFESSORA MARLUCIA EVANGELISTA DE SOUZA")</f>
        <v>CEMEI PROFESSORA MARLUCIA EVANGELISTA DE SOUZA</v>
      </c>
      <c r="D169" s="95" t="str">
        <f>IFERROR(__xludf.DUMMYFUNCTION("""COMPUTED_VALUE"""),"INFANTIL 3")</f>
        <v>INFANTIL 3</v>
      </c>
      <c r="E169" s="95" t="str">
        <f>IFERROR(__xludf.DUMMYFUNCTION("""COMPUTED_VALUE"""),"Vespertino/Tarde")</f>
        <v>Vespertino/Tarde</v>
      </c>
      <c r="F169" s="95" t="str">
        <f>IFERROR(__xludf.DUMMYFUNCTION("""COMPUTED_VALUE"""),"Comum")</f>
        <v>Comum</v>
      </c>
      <c r="G169" s="95" t="str">
        <f>IFERROR(__xludf.DUMMYFUNCTION("""COMPUTED_VALUE"""),"1")</f>
        <v>1</v>
      </c>
      <c r="H169" s="95" t="str">
        <f>IFERROR(__xludf.DUMMYFUNCTION("""COMPUTED_VALUE"""),"26032895116")</f>
        <v>26032895116</v>
      </c>
      <c r="I169" s="105" t="str">
        <f>IFERROR(__xludf.DUMMYFUNCTION("""COMPUTED_VALUE"""),"31/03/2026 08:33:16")</f>
        <v>31/03/2026 08:33:16</v>
      </c>
      <c r="J169" s="95" t="str">
        <f>IFERROR(__xludf.DUMMYFUNCTION("""COMPUTED_VALUE"""),"APOLLO GABRIEL BRITO DO NASCIMENTO")</f>
        <v>APOLLO GABRIEL BRITO DO NASCIMENTO</v>
      </c>
      <c r="K169" s="95" t="str">
        <f>IFERROR(__xludf.DUMMYFUNCTION("""COMPUTED_VALUE"""),"184.343.404-02")</f>
        <v>184.343.404-02</v>
      </c>
      <c r="L169" s="104" t="str">
        <f>IFERROR(__xludf.DUMMYFUNCTION("""COMPUTED_VALUE"""),"03/02/2023")</f>
        <v>03/02/2023</v>
      </c>
      <c r="M169" s="104"/>
      <c r="N169" s="95" t="str">
        <f>IFERROR(__xludf.DUMMYFUNCTION("""COMPUTED_VALUE"""),"0")</f>
        <v>0</v>
      </c>
      <c r="O169" s="95"/>
      <c r="P169" s="95"/>
      <c r="Q169" s="95"/>
      <c r="R169" s="95"/>
      <c r="S169" s="95"/>
      <c r="T169" s="95"/>
      <c r="U169" s="95"/>
      <c r="V169" s="95"/>
      <c r="W169" s="95"/>
      <c r="X169" s="95"/>
      <c r="Y169" s="95"/>
      <c r="Z169" s="95"/>
      <c r="AA169" s="95"/>
      <c r="AB169" s="95"/>
      <c r="AC169" s="95"/>
    </row>
    <row r="170" ht="15.75" customHeight="1" spans="1:29">
      <c r="A170" s="95"/>
      <c r="B170" s="95" t="str">
        <f>VLOOKUP(C170,lista_id!$D$2:$F$152,3,0)</f>
        <v>REGIONAL 6</v>
      </c>
      <c r="C170" s="102" t="str">
        <f>IFERROR(__xludf.DUMMYFUNCTION("""COMPUTED_VALUE"""),"CEMEI PROFESSORA MARLUCIA EVANGELISTA DE SOUZA")</f>
        <v>CEMEI PROFESSORA MARLUCIA EVANGELISTA DE SOUZA</v>
      </c>
      <c r="D170" s="95" t="str">
        <f>IFERROR(__xludf.DUMMYFUNCTION("""COMPUTED_VALUE"""),"INFANTIL 4")</f>
        <v>INFANTIL 4</v>
      </c>
      <c r="E170" s="95" t="str">
        <f>IFERROR(__xludf.DUMMYFUNCTION("""COMPUTED_VALUE"""),"Matutino/Manhã")</f>
        <v>Matutino/Manhã</v>
      </c>
      <c r="F170" s="95" t="str">
        <f>IFERROR(__xludf.DUMMYFUNCTION("""COMPUTED_VALUE"""),"Comum")</f>
        <v>Comum</v>
      </c>
      <c r="G170" s="95" t="str">
        <f>IFERROR(__xludf.DUMMYFUNCTION("""COMPUTED_VALUE"""),"1")</f>
        <v>1</v>
      </c>
      <c r="H170" s="95" t="str">
        <f>IFERROR(__xludf.DUMMYFUNCTION("""COMPUTED_VALUE"""),"26022443512")</f>
        <v>26022443512</v>
      </c>
      <c r="I170" s="105" t="str">
        <f>IFERROR(__xludf.DUMMYFUNCTION("""COMPUTED_VALUE"""),"27/02/2026 09:28:36")</f>
        <v>27/02/2026 09:28:36</v>
      </c>
      <c r="J170" s="95" t="str">
        <f>IFERROR(__xludf.DUMMYFUNCTION("""COMPUTED_VALUE"""),"NOAH SALLYS DA SILVA")</f>
        <v>NOAH SALLYS DA SILVA</v>
      </c>
      <c r="K170" s="95" t="str">
        <f>IFERROR(__xludf.DUMMYFUNCTION("""COMPUTED_VALUE"""),"180.273.404-03")</f>
        <v>180.273.404-03</v>
      </c>
      <c r="L170" s="104" t="str">
        <f>IFERROR(__xludf.DUMMYFUNCTION("""COMPUTED_VALUE"""),"24/01/2022")</f>
        <v>24/01/2022</v>
      </c>
      <c r="M170" s="104"/>
      <c r="N170" s="95" t="str">
        <f>IFERROR(__xludf.DUMMYFUNCTION("""COMPUTED_VALUE"""),"0")</f>
        <v>0</v>
      </c>
      <c r="O170" s="95"/>
      <c r="P170" s="95"/>
      <c r="Q170" s="95"/>
      <c r="R170" s="95"/>
      <c r="S170" s="95"/>
      <c r="T170" s="95"/>
      <c r="U170" s="95"/>
      <c r="V170" s="95"/>
      <c r="W170" s="95"/>
      <c r="X170" s="95"/>
      <c r="Y170" s="95"/>
      <c r="Z170" s="95"/>
      <c r="AA170" s="95"/>
      <c r="AB170" s="95"/>
      <c r="AC170" s="95"/>
    </row>
    <row r="171" ht="15.75" customHeight="1" spans="1:29">
      <c r="A171" s="95"/>
      <c r="B171" s="95" t="str">
        <f>VLOOKUP(C171,lista_id!$D$2:$F$152,3,0)</f>
        <v>REGIONAL 6</v>
      </c>
      <c r="C171" s="102" t="str">
        <f>IFERROR(__xludf.DUMMYFUNCTION("""COMPUTED_VALUE"""),"CEMEI PROFESSORA MARLUCIA EVANGELISTA DE SOUZA")</f>
        <v>CEMEI PROFESSORA MARLUCIA EVANGELISTA DE SOUZA</v>
      </c>
      <c r="D171" s="95" t="str">
        <f>IFERROR(__xludf.DUMMYFUNCTION("""COMPUTED_VALUE"""),"INFANTIL 4")</f>
        <v>INFANTIL 4</v>
      </c>
      <c r="E171" s="95" t="str">
        <f>IFERROR(__xludf.DUMMYFUNCTION("""COMPUTED_VALUE"""),"Matutino/Manhã")</f>
        <v>Matutino/Manhã</v>
      </c>
      <c r="F171" s="95" t="str">
        <f>IFERROR(__xludf.DUMMYFUNCTION("""COMPUTED_VALUE"""),"Comum")</f>
        <v>Comum</v>
      </c>
      <c r="G171" s="95" t="str">
        <f>IFERROR(__xludf.DUMMYFUNCTION("""COMPUTED_VALUE"""),"2")</f>
        <v>2</v>
      </c>
      <c r="H171" s="95" t="str">
        <f>IFERROR(__xludf.DUMMYFUNCTION("""COMPUTED_VALUE"""),"26032393004")</f>
        <v>26032393004</v>
      </c>
      <c r="I171" s="105" t="str">
        <f>IFERROR(__xludf.DUMMYFUNCTION("""COMPUTED_VALUE"""),"18/03/2026 10:20:58")</f>
        <v>18/03/2026 10:20:58</v>
      </c>
      <c r="J171" s="95" t="str">
        <f>IFERROR(__xludf.DUMMYFUNCTION("""COMPUTED_VALUE"""),"ELLENA SILVA DE LIMA")</f>
        <v>ELLENA SILVA DE LIMA</v>
      </c>
      <c r="K171" s="95" t="str">
        <f>IFERROR(__xludf.DUMMYFUNCTION("""COMPUTED_VALUE"""),"179.048.964-43")</f>
        <v>179.048.964-43</v>
      </c>
      <c r="L171" s="104" t="str">
        <f>IFERROR(__xludf.DUMMYFUNCTION("""COMPUTED_VALUE"""),"05/11/2021")</f>
        <v>05/11/2021</v>
      </c>
      <c r="M171" s="104"/>
      <c r="N171" s="95" t="str">
        <f>IFERROR(__xludf.DUMMYFUNCTION("""COMPUTED_VALUE"""),"0")</f>
        <v>0</v>
      </c>
      <c r="O171" s="95"/>
      <c r="P171" s="95"/>
      <c r="Q171" s="95"/>
      <c r="R171" s="95"/>
      <c r="S171" s="95"/>
      <c r="T171" s="95"/>
      <c r="U171" s="95"/>
      <c r="V171" s="95"/>
      <c r="W171" s="95"/>
      <c r="X171" s="95"/>
      <c r="Y171" s="95"/>
      <c r="Z171" s="95"/>
      <c r="AA171" s="95"/>
      <c r="AB171" s="95"/>
      <c r="AC171" s="95"/>
    </row>
    <row r="172" ht="15.75" customHeight="1" spans="1:29">
      <c r="A172" s="95"/>
      <c r="B172" s="95" t="str">
        <f>VLOOKUP(C172,lista_id!$D$2:$F$152,3,0)</f>
        <v>REGIONAL 6</v>
      </c>
      <c r="C172" s="102" t="str">
        <f>IFERROR(__xludf.DUMMYFUNCTION("""COMPUTED_VALUE"""),"CEMEI PROFESSORA MARLUCIA EVANGELISTA DE SOUZA")</f>
        <v>CEMEI PROFESSORA MARLUCIA EVANGELISTA DE SOUZA</v>
      </c>
      <c r="D172" s="95" t="str">
        <f>IFERROR(__xludf.DUMMYFUNCTION("""COMPUTED_VALUE"""),"INFANTIL 4")</f>
        <v>INFANTIL 4</v>
      </c>
      <c r="E172" s="95" t="str">
        <f>IFERROR(__xludf.DUMMYFUNCTION("""COMPUTED_VALUE"""),"Matutino/Manhã")</f>
        <v>Matutino/Manhã</v>
      </c>
      <c r="F172" s="95" t="str">
        <f>IFERROR(__xludf.DUMMYFUNCTION("""COMPUTED_VALUE"""),"Comum")</f>
        <v>Comum</v>
      </c>
      <c r="G172" s="95" t="str">
        <f>IFERROR(__xludf.DUMMYFUNCTION("""COMPUTED_VALUE"""),"3")</f>
        <v>3</v>
      </c>
      <c r="H172" s="95" t="str">
        <f>IFERROR(__xludf.DUMMYFUNCTION("""COMPUTED_VALUE"""),"26032605140")</f>
        <v>26032605140</v>
      </c>
      <c r="I172" s="105" t="str">
        <f>IFERROR(__xludf.DUMMYFUNCTION("""COMPUTED_VALUE"""),"31/03/2026 08:44:00")</f>
        <v>31/03/2026 08:44:00</v>
      </c>
      <c r="J172" s="95" t="str">
        <f>IFERROR(__xludf.DUMMYFUNCTION("""COMPUTED_VALUE"""),"GEOVANNA HELOÁ MARTINS RODRIGUES")</f>
        <v>GEOVANNA HELOÁ MARTINS RODRIGUES</v>
      </c>
      <c r="K172" s="95" t="str">
        <f>IFERROR(__xludf.DUMMYFUNCTION("""COMPUTED_VALUE"""),"160.602.139-79")</f>
        <v>160.602.139-79</v>
      </c>
      <c r="L172" s="104" t="str">
        <f>IFERROR(__xludf.DUMMYFUNCTION("""COMPUTED_VALUE"""),"18/09/2021")</f>
        <v>18/09/2021</v>
      </c>
      <c r="M172" s="104"/>
      <c r="N172" s="95" t="str">
        <f>IFERROR(__xludf.DUMMYFUNCTION("""COMPUTED_VALUE"""),"0")</f>
        <v>0</v>
      </c>
      <c r="O172" s="95"/>
      <c r="P172" s="95"/>
      <c r="Q172" s="95"/>
      <c r="R172" s="95"/>
      <c r="S172" s="95"/>
      <c r="T172" s="95"/>
      <c r="U172" s="95"/>
      <c r="V172" s="95"/>
      <c r="W172" s="95"/>
      <c r="X172" s="95"/>
      <c r="Y172" s="95"/>
      <c r="Z172" s="95"/>
      <c r="AA172" s="95"/>
      <c r="AB172" s="95"/>
      <c r="AC172" s="95"/>
    </row>
    <row r="173" ht="15.75" customHeight="1" spans="1:29">
      <c r="A173" s="95"/>
      <c r="B173" s="95" t="str">
        <f>VLOOKUP(C173,lista_id!$D$2:$F$152,3,0)</f>
        <v>REGIONAL 6</v>
      </c>
      <c r="C173" s="102" t="str">
        <f>IFERROR(__xludf.DUMMYFUNCTION("""COMPUTED_VALUE"""),"CEMEI PROFESSORA MARLUCIA EVANGELISTA DE SOUZA")</f>
        <v>CEMEI PROFESSORA MARLUCIA EVANGELISTA DE SOUZA</v>
      </c>
      <c r="D173" s="95" t="str">
        <f>IFERROR(__xludf.DUMMYFUNCTION("""COMPUTED_VALUE"""),"INFANTIL 4")</f>
        <v>INFANTIL 4</v>
      </c>
      <c r="E173" s="95" t="str">
        <f>IFERROR(__xludf.DUMMYFUNCTION("""COMPUTED_VALUE"""),"Matutino/Manhã")</f>
        <v>Matutino/Manhã</v>
      </c>
      <c r="F173" s="95" t="str">
        <f>IFERROR(__xludf.DUMMYFUNCTION("""COMPUTED_VALUE"""),"Comum")</f>
        <v>Comum</v>
      </c>
      <c r="G173" s="95" t="str">
        <f>IFERROR(__xludf.DUMMYFUNCTION("""COMPUTED_VALUE"""),"4")</f>
        <v>4</v>
      </c>
      <c r="H173" s="95" t="str">
        <f>IFERROR(__xludf.DUMMYFUNCTION("""COMPUTED_VALUE"""),"26042498422")</f>
        <v>26042498422</v>
      </c>
      <c r="I173" s="105" t="str">
        <f>IFERROR(__xludf.DUMMYFUNCTION("""COMPUTED_VALUE"""),"15/04/2026 09:10:01")</f>
        <v>15/04/2026 09:10:01</v>
      </c>
      <c r="J173" s="95" t="str">
        <f>IFERROR(__xludf.DUMMYFUNCTION("""COMPUTED_VALUE"""),"MATHEUS HENRIQUE OLIVEIRA DE LIMA")</f>
        <v>MATHEUS HENRIQUE OLIVEIRA DE LIMA</v>
      </c>
      <c r="K173" s="95" t="str">
        <f>IFERROR(__xludf.DUMMYFUNCTION("""COMPUTED_VALUE"""),"177.768.694-65")</f>
        <v>177.768.694-65</v>
      </c>
      <c r="L173" s="104" t="str">
        <f>IFERROR(__xludf.DUMMYFUNCTION("""COMPUTED_VALUE"""),"04/05/2021")</f>
        <v>04/05/2021</v>
      </c>
      <c r="M173" s="104"/>
      <c r="N173" s="95" t="str">
        <f>IFERROR(__xludf.DUMMYFUNCTION("""COMPUTED_VALUE"""),"0")</f>
        <v>0</v>
      </c>
      <c r="O173" s="95"/>
      <c r="P173" s="95"/>
      <c r="Q173" s="95"/>
      <c r="R173" s="95"/>
      <c r="S173" s="95"/>
      <c r="T173" s="95"/>
      <c r="U173" s="95"/>
      <c r="V173" s="95"/>
      <c r="W173" s="95"/>
      <c r="X173" s="95"/>
      <c r="Y173" s="95"/>
      <c r="Z173" s="95"/>
      <c r="AA173" s="95"/>
      <c r="AB173" s="95"/>
      <c r="AC173" s="95"/>
    </row>
    <row r="174" ht="15.75" customHeight="1" spans="1:29">
      <c r="A174" s="95"/>
      <c r="B174" s="95" t="str">
        <f>VLOOKUP(C174,lista_id!$D$2:$F$152,3,0)</f>
        <v>REGIONAL 6</v>
      </c>
      <c r="C174" s="102" t="str">
        <f>IFERROR(__xludf.DUMMYFUNCTION("""COMPUTED_VALUE"""),"CEMEI PROFESSORA MARLUCIA EVANGELISTA DE SOUZA")</f>
        <v>CEMEI PROFESSORA MARLUCIA EVANGELISTA DE SOUZA</v>
      </c>
      <c r="D174" s="95" t="str">
        <f>IFERROR(__xludf.DUMMYFUNCTION("""COMPUTED_VALUE"""),"INFANTIL 4")</f>
        <v>INFANTIL 4</v>
      </c>
      <c r="E174" s="95" t="str">
        <f>IFERROR(__xludf.DUMMYFUNCTION("""COMPUTED_VALUE"""),"Vespertino/Tarde")</f>
        <v>Vespertino/Tarde</v>
      </c>
      <c r="F174" s="95" t="str">
        <f>IFERROR(__xludf.DUMMYFUNCTION("""COMPUTED_VALUE"""),"Comum")</f>
        <v>Comum</v>
      </c>
      <c r="G174" s="95" t="str">
        <f>IFERROR(__xludf.DUMMYFUNCTION("""COMPUTED_VALUE"""),"1")</f>
        <v>1</v>
      </c>
      <c r="H174" s="95" t="str">
        <f>IFERROR(__xludf.DUMMYFUNCTION("""COMPUTED_VALUE"""),"26022453072")</f>
        <v>26022453072</v>
      </c>
      <c r="I174" s="105" t="str">
        <f>IFERROR(__xludf.DUMMYFUNCTION("""COMPUTED_VALUE"""),"09/02/2026 12:53:59")</f>
        <v>09/02/2026 12:53:59</v>
      </c>
      <c r="J174" s="95" t="str">
        <f>IFERROR(__xludf.DUMMYFUNCTION("""COMPUTED_VALUE"""),"RHAVI TELES SILVA")</f>
        <v>RHAVI TELES SILVA</v>
      </c>
      <c r="K174" s="95" t="str">
        <f>IFERROR(__xludf.DUMMYFUNCTION("""COMPUTED_VALUE"""),"178.592.664-07")</f>
        <v>178.592.664-07</v>
      </c>
      <c r="L174" s="104" t="str">
        <f>IFERROR(__xludf.DUMMYFUNCTION("""COMPUTED_VALUE"""),"02/10/2021")</f>
        <v>02/10/2021</v>
      </c>
      <c r="M174" s="106"/>
      <c r="N174" s="95" t="str">
        <f>IFERROR(__xludf.DUMMYFUNCTION("""COMPUTED_VALUE"""),"0")</f>
        <v>0</v>
      </c>
      <c r="O174" s="95"/>
      <c r="P174" s="95"/>
      <c r="Q174" s="95"/>
      <c r="R174" s="95"/>
      <c r="S174" s="95"/>
      <c r="T174" s="95"/>
      <c r="U174" s="95"/>
      <c r="V174" s="95"/>
      <c r="W174" s="95"/>
      <c r="X174" s="95"/>
      <c r="Y174" s="95"/>
      <c r="Z174" s="95"/>
      <c r="AA174" s="95"/>
      <c r="AB174" s="95"/>
      <c r="AC174" s="95"/>
    </row>
    <row r="175" ht="15.75" customHeight="1" spans="1:29">
      <c r="A175" s="95"/>
      <c r="B175" s="95" t="str">
        <f>VLOOKUP(C175,lista_id!$D$2:$F$152,3,0)</f>
        <v>REGIONAL 6</v>
      </c>
      <c r="C175" s="102" t="str">
        <f>IFERROR(__xludf.DUMMYFUNCTION("""COMPUTED_VALUE"""),"CEMEI PROFESSORA MARLUCIA EVANGELISTA DE SOUZA")</f>
        <v>CEMEI PROFESSORA MARLUCIA EVANGELISTA DE SOUZA</v>
      </c>
      <c r="D175" s="95" t="str">
        <f>IFERROR(__xludf.DUMMYFUNCTION("""COMPUTED_VALUE"""),"INFANTIL 4")</f>
        <v>INFANTIL 4</v>
      </c>
      <c r="E175" s="95" t="str">
        <f>IFERROR(__xludf.DUMMYFUNCTION("""COMPUTED_VALUE"""),"Vespertino/Tarde")</f>
        <v>Vespertino/Tarde</v>
      </c>
      <c r="F175" s="95" t="str">
        <f>IFERROR(__xludf.DUMMYFUNCTION("""COMPUTED_VALUE"""),"Comum")</f>
        <v>Comum</v>
      </c>
      <c r="G175" s="95" t="str">
        <f>IFERROR(__xludf.DUMMYFUNCTION("""COMPUTED_VALUE"""),"2")</f>
        <v>2</v>
      </c>
      <c r="H175" s="95" t="str">
        <f>IFERROR(__xludf.DUMMYFUNCTION("""COMPUTED_VALUE"""),"26032122547")</f>
        <v>26032122547</v>
      </c>
      <c r="I175" s="105" t="str">
        <f>IFERROR(__xludf.DUMMYFUNCTION("""COMPUTED_VALUE"""),"18/03/2026 11:31:20")</f>
        <v>18/03/2026 11:31:20</v>
      </c>
      <c r="J175" s="95" t="str">
        <f>IFERROR(__xludf.DUMMYFUNCTION("""COMPUTED_VALUE"""),"MARIA AYLLA SOFIA CHAVIER SILVA")</f>
        <v>MARIA AYLLA SOFIA CHAVIER SILVA</v>
      </c>
      <c r="K175" s="95" t="str">
        <f>IFERROR(__xludf.DUMMYFUNCTION("""COMPUTED_VALUE"""),"177.533.574-76")</f>
        <v>177.533.574-76</v>
      </c>
      <c r="L175" s="104" t="str">
        <f>IFERROR(__xludf.DUMMYFUNCTION("""COMPUTED_VALUE"""),"30/06/2021")</f>
        <v>30/06/2021</v>
      </c>
      <c r="M175" s="104"/>
      <c r="N175" s="95" t="str">
        <f>IFERROR(__xludf.DUMMYFUNCTION("""COMPUTED_VALUE"""),"0")</f>
        <v>0</v>
      </c>
      <c r="O175" s="95"/>
      <c r="P175" s="95"/>
      <c r="Q175" s="95"/>
      <c r="R175" s="95"/>
      <c r="S175" s="95"/>
      <c r="T175" s="95"/>
      <c r="U175" s="95"/>
      <c r="V175" s="95"/>
      <c r="W175" s="95"/>
      <c r="X175" s="95"/>
      <c r="Y175" s="95"/>
      <c r="Z175" s="95"/>
      <c r="AA175" s="95"/>
      <c r="AB175" s="95"/>
      <c r="AC175" s="95"/>
    </row>
    <row r="176" ht="15.75" customHeight="1" spans="1:29">
      <c r="A176" s="95"/>
      <c r="B176" s="95" t="str">
        <f>VLOOKUP(C176,lista_id!$D$2:$F$152,3,0)</f>
        <v>REGIONAL 6</v>
      </c>
      <c r="C176" s="102" t="str">
        <f>IFERROR(__xludf.DUMMYFUNCTION("""COMPUTED_VALUE"""),"CEMEI PROFESSORA MARLUCIA EVANGELISTA DE SOUZA")</f>
        <v>CEMEI PROFESSORA MARLUCIA EVANGELISTA DE SOUZA</v>
      </c>
      <c r="D176" s="95" t="str">
        <f>IFERROR(__xludf.DUMMYFUNCTION("""COMPUTED_VALUE"""),"INFANTIL 5")</f>
        <v>INFANTIL 5</v>
      </c>
      <c r="E176" s="95" t="str">
        <f>IFERROR(__xludf.DUMMYFUNCTION("""COMPUTED_VALUE"""),"Vespertino/Tarde")</f>
        <v>Vespertino/Tarde</v>
      </c>
      <c r="F176" s="95" t="str">
        <f>IFERROR(__xludf.DUMMYFUNCTION("""COMPUTED_VALUE"""),"Comum")</f>
        <v>Comum</v>
      </c>
      <c r="G176" s="95" t="str">
        <f>IFERROR(__xludf.DUMMYFUNCTION("""COMPUTED_VALUE"""),"1")</f>
        <v>1</v>
      </c>
      <c r="H176" s="95" t="str">
        <f>IFERROR(__xludf.DUMMYFUNCTION("""COMPUTED_VALUE"""),"26052553062")</f>
        <v>26052553062</v>
      </c>
      <c r="I176" s="105" t="str">
        <f>IFERROR(__xludf.DUMMYFUNCTION("""COMPUTED_VALUE"""),"19/05/2026 10:08:03")</f>
        <v>19/05/2026 10:08:03</v>
      </c>
      <c r="J176" s="95" t="str">
        <f>IFERROR(__xludf.DUMMYFUNCTION("""COMPUTED_VALUE"""),"Ágatha Sofia da Silva")</f>
        <v>Ágatha Sofia da Silva</v>
      </c>
      <c r="K176" s="95" t="str">
        <f>IFERROR(__xludf.DUMMYFUNCTION("""COMPUTED_VALUE"""),"172.472.594-77")</f>
        <v>172.472.594-77</v>
      </c>
      <c r="L176" s="104" t="str">
        <f>IFERROR(__xludf.DUMMYFUNCTION("""COMPUTED_VALUE"""),"28/06/2020")</f>
        <v>28/06/2020</v>
      </c>
      <c r="M176" s="104"/>
      <c r="N176" s="95" t="str">
        <f>IFERROR(__xludf.DUMMYFUNCTION("""COMPUTED_VALUE"""),"0")</f>
        <v>0</v>
      </c>
      <c r="O176" s="95"/>
      <c r="P176" s="95"/>
      <c r="Q176" s="95"/>
      <c r="R176" s="95"/>
      <c r="S176" s="95"/>
      <c r="T176" s="95"/>
      <c r="U176" s="95"/>
      <c r="V176" s="95"/>
      <c r="W176" s="95"/>
      <c r="X176" s="95"/>
      <c r="Y176" s="95"/>
      <c r="Z176" s="95"/>
      <c r="AA176" s="95"/>
      <c r="AB176" s="95"/>
      <c r="AC176" s="95"/>
    </row>
    <row r="177" ht="15.75" customHeight="1" spans="1:29">
      <c r="A177" s="95"/>
      <c r="B177" s="95" t="str">
        <f>VLOOKUP(C177,lista_id!$D$2:$F$152,3,0)</f>
        <v>REGIONAL 6</v>
      </c>
      <c r="C177" s="102" t="str">
        <f>IFERROR(__xludf.DUMMYFUNCTION("""COMPUTED_VALUE"""),"CEMEI PROFESSORA RAKELLY NOGUEIRA DO NASCIMENTO")</f>
        <v>CEMEI PROFESSORA RAKELLY NOGUEIRA DO NASCIMENTO</v>
      </c>
      <c r="D177" s="95" t="str">
        <f>IFERROR(__xludf.DUMMYFUNCTION("""COMPUTED_VALUE"""),"INFANTIL 1")</f>
        <v>INFANTIL 1</v>
      </c>
      <c r="E177" s="95" t="str">
        <f>IFERROR(__xludf.DUMMYFUNCTION("""COMPUTED_VALUE"""),"Integral")</f>
        <v>Integral</v>
      </c>
      <c r="F177" s="95" t="str">
        <f>IFERROR(__xludf.DUMMYFUNCTION("""COMPUTED_VALUE"""),"Comum")</f>
        <v>Comum</v>
      </c>
      <c r="G177" s="95" t="str">
        <f>IFERROR(__xludf.DUMMYFUNCTION("""COMPUTED_VALUE"""),"1")</f>
        <v>1</v>
      </c>
      <c r="H177" s="95" t="str">
        <f>IFERROR(__xludf.DUMMYFUNCTION("""COMPUTED_VALUE"""),"26032717706")</f>
        <v>26032717706</v>
      </c>
      <c r="I177" s="105" t="str">
        <f>IFERROR(__xludf.DUMMYFUNCTION("""COMPUTED_VALUE"""),"17/03/2026 11:53:45")</f>
        <v>17/03/2026 11:53:45</v>
      </c>
      <c r="J177" s="95" t="str">
        <f>IFERROR(__xludf.DUMMYFUNCTION("""COMPUTED_VALUE"""),"SARA BATISTA DE SOUZA")</f>
        <v>SARA BATISTA DE SOUZA</v>
      </c>
      <c r="K177" s="95" t="str">
        <f>IFERROR(__xludf.DUMMYFUNCTION("""COMPUTED_VALUE"""),"005.859.174-50")</f>
        <v>005.859.174-50</v>
      </c>
      <c r="L177" s="104" t="str">
        <f>IFERROR(__xludf.DUMMYFUNCTION("""COMPUTED_VALUE"""),"09/04/2025")</f>
        <v>09/04/2025</v>
      </c>
      <c r="M177" s="104"/>
      <c r="N177" s="95" t="str">
        <f>IFERROR(__xludf.DUMMYFUNCTION("""COMPUTED_VALUE"""),"0")</f>
        <v>0</v>
      </c>
      <c r="O177" s="95"/>
      <c r="P177" s="95"/>
      <c r="Q177" s="95"/>
      <c r="R177" s="95"/>
      <c r="S177" s="95"/>
      <c r="T177" s="95"/>
      <c r="U177" s="95"/>
      <c r="V177" s="95"/>
      <c r="W177" s="95"/>
      <c r="X177" s="95"/>
      <c r="Y177" s="95"/>
      <c r="Z177" s="95"/>
      <c r="AA177" s="95"/>
      <c r="AB177" s="95"/>
      <c r="AC177" s="95"/>
    </row>
    <row r="178" ht="15.75" customHeight="1" spans="1:29">
      <c r="A178" s="95"/>
      <c r="B178" s="95" t="str">
        <f>VLOOKUP(C178,lista_id!$D$2:$F$152,3,0)</f>
        <v>REGIONAL 6</v>
      </c>
      <c r="C178" s="102" t="str">
        <f>IFERROR(__xludf.DUMMYFUNCTION("""COMPUTED_VALUE"""),"CEMEI PROFESSORA RAKELLY NOGUEIRA DO NASCIMENTO")</f>
        <v>CEMEI PROFESSORA RAKELLY NOGUEIRA DO NASCIMENTO</v>
      </c>
      <c r="D178" s="95" t="str">
        <f>IFERROR(__xludf.DUMMYFUNCTION("""COMPUTED_VALUE"""),"INFANTIL 1")</f>
        <v>INFANTIL 1</v>
      </c>
      <c r="E178" s="95" t="str">
        <f>IFERROR(__xludf.DUMMYFUNCTION("""COMPUTED_VALUE"""),"Integral")</f>
        <v>Integral</v>
      </c>
      <c r="F178" s="95" t="str">
        <f>IFERROR(__xludf.DUMMYFUNCTION("""COMPUTED_VALUE"""),"Comum")</f>
        <v>Comum</v>
      </c>
      <c r="G178" s="95" t="str">
        <f>IFERROR(__xludf.DUMMYFUNCTION("""COMPUTED_VALUE"""),"2")</f>
        <v>2</v>
      </c>
      <c r="H178" s="95" t="str">
        <f>IFERROR(__xludf.DUMMYFUNCTION("""COMPUTED_VALUE"""),"26052457217")</f>
        <v>26052457217</v>
      </c>
      <c r="I178" s="105" t="str">
        <f>IFERROR(__xludf.DUMMYFUNCTION("""COMPUTED_VALUE"""),"22/05/2026 09:50:12")</f>
        <v>22/05/2026 09:50:12</v>
      </c>
      <c r="J178" s="95" t="str">
        <f>IFERROR(__xludf.DUMMYFUNCTION("""COMPUTED_VALUE"""),"Théo Vinícius Galdino dos Santos")</f>
        <v>Théo Vinícius Galdino dos Santos</v>
      </c>
      <c r="K178" s="95" t="str">
        <f>IFERROR(__xludf.DUMMYFUNCTION("""COMPUTED_VALUE"""),"006.594.094-61")</f>
        <v>006.594.094-61</v>
      </c>
      <c r="L178" s="104" t="str">
        <f>IFERROR(__xludf.DUMMYFUNCTION("""COMPUTED_VALUE"""),"28/06/2025")</f>
        <v>28/06/2025</v>
      </c>
      <c r="M178" s="104"/>
      <c r="N178" s="95" t="str">
        <f>IFERROR(__xludf.DUMMYFUNCTION("""COMPUTED_VALUE"""),"0")</f>
        <v>0</v>
      </c>
      <c r="O178" s="95"/>
      <c r="P178" s="95"/>
      <c r="Q178" s="95"/>
      <c r="R178" s="95"/>
      <c r="S178" s="95"/>
      <c r="T178" s="95"/>
      <c r="U178" s="95"/>
      <c r="V178" s="95"/>
      <c r="W178" s="95"/>
      <c r="X178" s="95"/>
      <c r="Y178" s="95"/>
      <c r="Z178" s="95"/>
      <c r="AA178" s="95"/>
      <c r="AB178" s="95"/>
      <c r="AC178" s="95"/>
    </row>
    <row r="179" ht="15.75" customHeight="1" spans="1:29">
      <c r="A179" s="95"/>
      <c r="B179" s="95" t="str">
        <f>VLOOKUP(C179,lista_id!$D$2:$F$152,3,0)</f>
        <v>REGIONAL 6</v>
      </c>
      <c r="C179" s="102" t="str">
        <f>IFERROR(__xludf.DUMMYFUNCTION("""COMPUTED_VALUE"""),"CEMEI PROFESSORA RAKELLY NOGUEIRA DO NASCIMENTO")</f>
        <v>CEMEI PROFESSORA RAKELLY NOGUEIRA DO NASCIMENTO</v>
      </c>
      <c r="D179" s="95" t="str">
        <f>IFERROR(__xludf.DUMMYFUNCTION("""COMPUTED_VALUE"""),"INFANTIL 2")</f>
        <v>INFANTIL 2</v>
      </c>
      <c r="E179" s="95" t="str">
        <f>IFERROR(__xludf.DUMMYFUNCTION("""COMPUTED_VALUE"""),"Integral")</f>
        <v>Integral</v>
      </c>
      <c r="F179" s="95" t="str">
        <f>IFERROR(__xludf.DUMMYFUNCTION("""COMPUTED_VALUE"""),"Comum")</f>
        <v>Comum</v>
      </c>
      <c r="G179" s="95" t="str">
        <f>IFERROR(__xludf.DUMMYFUNCTION("""COMPUTED_VALUE"""),"1")</f>
        <v>1</v>
      </c>
      <c r="H179" s="95" t="str">
        <f>IFERROR(__xludf.DUMMYFUNCTION("""COMPUTED_VALUE"""),"26032133194")</f>
        <v>26032133194</v>
      </c>
      <c r="I179" s="105" t="str">
        <f>IFERROR(__xludf.DUMMYFUNCTION("""COMPUTED_VALUE"""),"24/03/2026 08:53:08")</f>
        <v>24/03/2026 08:53:08</v>
      </c>
      <c r="J179" s="95" t="str">
        <f>IFERROR(__xludf.DUMMYFUNCTION("""COMPUTED_VALUE"""),"ANA RUANY SIDRONE VIEIRA DA SILVA")</f>
        <v>ANA RUANY SIDRONE VIEIRA DA SILVA</v>
      </c>
      <c r="K179" s="95" t="str">
        <f>IFERROR(__xludf.DUMMYFUNCTION("""COMPUTED_VALUE"""),"003.696.734-33")</f>
        <v>003.696.734-33</v>
      </c>
      <c r="L179" s="104" t="str">
        <f>IFERROR(__xludf.DUMMYFUNCTION("""COMPUTED_VALUE"""),"04/09/2023")</f>
        <v>04/09/2023</v>
      </c>
      <c r="M179" s="104"/>
      <c r="N179" s="95" t="str">
        <f>IFERROR(__xludf.DUMMYFUNCTION("""COMPUTED_VALUE"""),"0")</f>
        <v>0</v>
      </c>
      <c r="O179" s="95"/>
      <c r="P179" s="95"/>
      <c r="Q179" s="95"/>
      <c r="R179" s="95"/>
      <c r="S179" s="95"/>
      <c r="T179" s="95"/>
      <c r="U179" s="95"/>
      <c r="V179" s="95"/>
      <c r="W179" s="95"/>
      <c r="X179" s="95"/>
      <c r="Y179" s="95"/>
      <c r="Z179" s="95"/>
      <c r="AA179" s="95"/>
      <c r="AB179" s="95"/>
      <c r="AC179" s="95"/>
    </row>
    <row r="180" ht="15.75" customHeight="1" spans="1:29">
      <c r="A180" s="95"/>
      <c r="B180" s="95" t="str">
        <f>VLOOKUP(C180,lista_id!$D$2:$F$152,3,0)</f>
        <v>REGIONAL 6</v>
      </c>
      <c r="C180" s="102" t="str">
        <f>IFERROR(__xludf.DUMMYFUNCTION("""COMPUTED_VALUE"""),"CEMEI PROFESSORA RAKELLY NOGUEIRA DO NASCIMENTO")</f>
        <v>CEMEI PROFESSORA RAKELLY NOGUEIRA DO NASCIMENTO</v>
      </c>
      <c r="D180" s="95" t="str">
        <f>IFERROR(__xludf.DUMMYFUNCTION("""COMPUTED_VALUE"""),"INFANTIL 2")</f>
        <v>INFANTIL 2</v>
      </c>
      <c r="E180" s="95" t="str">
        <f>IFERROR(__xludf.DUMMYFUNCTION("""COMPUTED_VALUE"""),"Integral")</f>
        <v>Integral</v>
      </c>
      <c r="F180" s="95" t="str">
        <f>IFERROR(__xludf.DUMMYFUNCTION("""COMPUTED_VALUE"""),"Comum")</f>
        <v>Comum</v>
      </c>
      <c r="G180" s="95" t="str">
        <f>IFERROR(__xludf.DUMMYFUNCTION("""COMPUTED_VALUE"""),"2")</f>
        <v>2</v>
      </c>
      <c r="H180" s="95" t="str">
        <f>IFERROR(__xludf.DUMMYFUNCTION("""COMPUTED_VALUE"""),"26052068598")</f>
        <v>26052068598</v>
      </c>
      <c r="I180" s="105" t="str">
        <f>IFERROR(__xludf.DUMMYFUNCTION("""COMPUTED_VALUE"""),"13/05/2026 07:38:50")</f>
        <v>13/05/2026 07:38:50</v>
      </c>
      <c r="J180" s="95" t="str">
        <f>IFERROR(__xludf.DUMMYFUNCTION("""COMPUTED_VALUE"""),"ANTHONY GABRIEL ROLIM DE OLIVEIRA")</f>
        <v>ANTHONY GABRIEL ROLIM DE OLIVEIRA</v>
      </c>
      <c r="K180" s="95" t="str">
        <f>IFERROR(__xludf.DUMMYFUNCTION("""COMPUTED_VALUE"""),"185.879.424-25")</f>
        <v>185.879.424-25</v>
      </c>
      <c r="L180" s="104" t="str">
        <f>IFERROR(__xludf.DUMMYFUNCTION("""COMPUTED_VALUE"""),"07/07/2023")</f>
        <v>07/07/2023</v>
      </c>
      <c r="M180" s="104"/>
      <c r="N180" s="95" t="str">
        <f>IFERROR(__xludf.DUMMYFUNCTION("""COMPUTED_VALUE"""),"0")</f>
        <v>0</v>
      </c>
      <c r="O180" s="95"/>
      <c r="P180" s="95"/>
      <c r="Q180" s="95"/>
      <c r="R180" s="95"/>
      <c r="S180" s="95"/>
      <c r="T180" s="95"/>
      <c r="U180" s="95"/>
      <c r="V180" s="95"/>
      <c r="W180" s="95"/>
      <c r="X180" s="95"/>
      <c r="Y180" s="95"/>
      <c r="Z180" s="95"/>
      <c r="AA180" s="95"/>
      <c r="AB180" s="95"/>
      <c r="AC180" s="95"/>
    </row>
    <row r="181" ht="15.75" customHeight="1" spans="1:29">
      <c r="A181" s="95"/>
      <c r="B181" s="95" t="str">
        <f>VLOOKUP(C181,lista_id!$D$2:$F$152,3,0)</f>
        <v>REGIONAL 1</v>
      </c>
      <c r="C181" s="102" t="str">
        <f>IFERROR(__xludf.DUMMYFUNCTION("""COMPUTED_VALUE"""),"CEMEI SANTO AMARO")</f>
        <v>CEMEI SANTO AMARO</v>
      </c>
      <c r="D181" s="95" t="str">
        <f>IFERROR(__xludf.DUMMYFUNCTION("""COMPUTED_VALUE"""),"INFANTIL 3")</f>
        <v>INFANTIL 3</v>
      </c>
      <c r="E181" s="95" t="str">
        <f>IFERROR(__xludf.DUMMYFUNCTION("""COMPUTED_VALUE"""),"Matutino/Manhã")</f>
        <v>Matutino/Manhã</v>
      </c>
      <c r="F181" s="95" t="str">
        <f>IFERROR(__xludf.DUMMYFUNCTION("""COMPUTED_VALUE"""),"Comum")</f>
        <v>Comum</v>
      </c>
      <c r="G181" s="95" t="str">
        <f>IFERROR(__xludf.DUMMYFUNCTION("""COMPUTED_VALUE"""),"1")</f>
        <v>1</v>
      </c>
      <c r="H181" s="95" t="str">
        <f>IFERROR(__xludf.DUMMYFUNCTION("""COMPUTED_VALUE"""),"26022533091")</f>
        <v>26022533091</v>
      </c>
      <c r="I181" s="105" t="str">
        <f>IFERROR(__xludf.DUMMYFUNCTION("""COMPUTED_VALUE"""),"02/02/2026 15:26:58")</f>
        <v>02/02/2026 15:26:58</v>
      </c>
      <c r="J181" s="95" t="str">
        <f>IFERROR(__xludf.DUMMYFUNCTION("""COMPUTED_VALUE"""),"DANIEL LIMA DE ARAUJO")</f>
        <v>DANIEL LIMA DE ARAUJO</v>
      </c>
      <c r="K181" s="95" t="str">
        <f>IFERROR(__xludf.DUMMYFUNCTION("""COMPUTED_VALUE"""),"181.750.114-32")</f>
        <v>181.750.114-32</v>
      </c>
      <c r="L181" s="104" t="str">
        <f>IFERROR(__xludf.DUMMYFUNCTION("""COMPUTED_VALUE"""),"14/05/2022")</f>
        <v>14/05/2022</v>
      </c>
      <c r="M181" s="104"/>
      <c r="N181" s="95" t="str">
        <f>IFERROR(__xludf.DUMMYFUNCTION("""COMPUTED_VALUE"""),"0")</f>
        <v>0</v>
      </c>
      <c r="O181" s="95"/>
      <c r="P181" s="95"/>
      <c r="Q181" s="95"/>
      <c r="R181" s="95"/>
      <c r="S181" s="95"/>
      <c r="T181" s="95"/>
      <c r="U181" s="95"/>
      <c r="V181" s="95"/>
      <c r="W181" s="95"/>
      <c r="X181" s="95"/>
      <c r="Y181" s="95"/>
      <c r="Z181" s="95"/>
      <c r="AA181" s="95"/>
      <c r="AB181" s="95"/>
      <c r="AC181" s="95"/>
    </row>
    <row r="182" ht="15.75" customHeight="1" spans="1:29">
      <c r="A182" s="95"/>
      <c r="B182" s="95" t="str">
        <f>VLOOKUP(C182,lista_id!$D$2:$F$152,3,0)</f>
        <v>REGIONAL 1</v>
      </c>
      <c r="C182" s="102" t="str">
        <f>IFERROR(__xludf.DUMMYFUNCTION("""COMPUTED_VALUE"""),"CEMEI SANTO AMARO")</f>
        <v>CEMEI SANTO AMARO</v>
      </c>
      <c r="D182" s="95" t="str">
        <f>IFERROR(__xludf.DUMMYFUNCTION("""COMPUTED_VALUE"""),"INFANTIL 3")</f>
        <v>INFANTIL 3</v>
      </c>
      <c r="E182" s="95" t="str">
        <f>IFERROR(__xludf.DUMMYFUNCTION("""COMPUTED_VALUE"""),"Matutino/Manhã")</f>
        <v>Matutino/Manhã</v>
      </c>
      <c r="F182" s="95" t="str">
        <f>IFERROR(__xludf.DUMMYFUNCTION("""COMPUTED_VALUE"""),"Comum")</f>
        <v>Comum</v>
      </c>
      <c r="G182" s="95" t="str">
        <f>IFERROR(__xludf.DUMMYFUNCTION("""COMPUTED_VALUE"""),"2")</f>
        <v>2</v>
      </c>
      <c r="H182" s="95" t="str">
        <f>IFERROR(__xludf.DUMMYFUNCTION("""COMPUTED_VALUE"""),"26022834716")</f>
        <v>26022834716</v>
      </c>
      <c r="I182" s="105" t="str">
        <f>IFERROR(__xludf.DUMMYFUNCTION("""COMPUTED_VALUE"""),"10/02/2026 08:09:45")</f>
        <v>10/02/2026 08:09:45</v>
      </c>
      <c r="J182" s="95" t="str">
        <f>IFERROR(__xludf.DUMMYFUNCTION("""COMPUTED_VALUE"""),"ELIZABETH SAMARA FRANÇA DA SILVA")</f>
        <v>ELIZABETH SAMARA FRANÇA DA SILVA</v>
      </c>
      <c r="K182" s="95" t="str">
        <f>IFERROR(__xludf.DUMMYFUNCTION("""COMPUTED_VALUE"""),"181.606.774-13")</f>
        <v>181.606.774-13</v>
      </c>
      <c r="L182" s="104" t="str">
        <f>IFERROR(__xludf.DUMMYFUNCTION("""COMPUTED_VALUE"""),"16/05/2022")</f>
        <v>16/05/2022</v>
      </c>
      <c r="M182" s="106"/>
      <c r="N182" s="95" t="str">
        <f>IFERROR(__xludf.DUMMYFUNCTION("""COMPUTED_VALUE"""),"0")</f>
        <v>0</v>
      </c>
      <c r="O182" s="95"/>
      <c r="P182" s="95"/>
      <c r="Q182" s="95"/>
      <c r="R182" s="95"/>
      <c r="S182" s="95"/>
      <c r="T182" s="95"/>
      <c r="U182" s="95"/>
      <c r="V182" s="95"/>
      <c r="W182" s="95"/>
      <c r="X182" s="95"/>
      <c r="Y182" s="95"/>
      <c r="Z182" s="95"/>
      <c r="AA182" s="95"/>
      <c r="AB182" s="95"/>
      <c r="AC182" s="95"/>
    </row>
    <row r="183" ht="15.75" customHeight="1" spans="1:29">
      <c r="A183" s="95"/>
      <c r="B183" s="95" t="str">
        <f>VLOOKUP(C183,lista_id!$D$2:$F$152,3,0)</f>
        <v>REGIONAL 1</v>
      </c>
      <c r="C183" s="102" t="str">
        <f>IFERROR(__xludf.DUMMYFUNCTION("""COMPUTED_VALUE"""),"CEMEI SANTO AMARO")</f>
        <v>CEMEI SANTO AMARO</v>
      </c>
      <c r="D183" s="95" t="str">
        <f>IFERROR(__xludf.DUMMYFUNCTION("""COMPUTED_VALUE"""),"INFANTIL 3")</f>
        <v>INFANTIL 3</v>
      </c>
      <c r="E183" s="95" t="str">
        <f>IFERROR(__xludf.DUMMYFUNCTION("""COMPUTED_VALUE"""),"Matutino/Manhã")</f>
        <v>Matutino/Manhã</v>
      </c>
      <c r="F183" s="95" t="str">
        <f>IFERROR(__xludf.DUMMYFUNCTION("""COMPUTED_VALUE"""),"Comum")</f>
        <v>Comum</v>
      </c>
      <c r="G183" s="95" t="str">
        <f>IFERROR(__xludf.DUMMYFUNCTION("""COMPUTED_VALUE"""),"3")</f>
        <v>3</v>
      </c>
      <c r="H183" s="95" t="str">
        <f>IFERROR(__xludf.DUMMYFUNCTION("""COMPUTED_VALUE"""),"26022024449")</f>
        <v>26022024449</v>
      </c>
      <c r="I183" s="105" t="str">
        <f>IFERROR(__xludf.DUMMYFUNCTION("""COMPUTED_VALUE"""),"24/02/2026 18:34:28")</f>
        <v>24/02/2026 18:34:28</v>
      </c>
      <c r="J183" s="95" t="str">
        <f>IFERROR(__xludf.DUMMYFUNCTION("""COMPUTED_VALUE"""),"TAIANE FIGUEIRA LIMA DE SOUZA")</f>
        <v>TAIANE FIGUEIRA LIMA DE SOUZA</v>
      </c>
      <c r="K183" s="95" t="str">
        <f>IFERROR(__xludf.DUMMYFUNCTION("""COMPUTED_VALUE"""),"181.335.914-81")</f>
        <v>181.335.914-81</v>
      </c>
      <c r="L183" s="104" t="str">
        <f>IFERROR(__xludf.DUMMYFUNCTION("""COMPUTED_VALUE"""),"12/04/2022")</f>
        <v>12/04/2022</v>
      </c>
      <c r="M183" s="104"/>
      <c r="N183" s="95" t="str">
        <f>IFERROR(__xludf.DUMMYFUNCTION("""COMPUTED_VALUE"""),"0")</f>
        <v>0</v>
      </c>
      <c r="O183" s="95"/>
      <c r="P183" s="95"/>
      <c r="Q183" s="95"/>
      <c r="R183" s="95"/>
      <c r="S183" s="95"/>
      <c r="T183" s="95"/>
      <c r="U183" s="95"/>
      <c r="V183" s="95"/>
      <c r="W183" s="95"/>
      <c r="X183" s="95"/>
      <c r="Y183" s="95"/>
      <c r="Z183" s="95"/>
      <c r="AA183" s="95"/>
      <c r="AB183" s="95"/>
      <c r="AC183" s="95"/>
    </row>
    <row r="184" ht="15.75" customHeight="1" spans="1:29">
      <c r="A184" s="95"/>
      <c r="B184" s="95" t="str">
        <f>VLOOKUP(C184,lista_id!$D$2:$F$152,3,0)</f>
        <v>REGIONAL 1</v>
      </c>
      <c r="C184" s="102" t="str">
        <f>IFERROR(__xludf.DUMMYFUNCTION("""COMPUTED_VALUE"""),"CEMEI SANTO AMARO")</f>
        <v>CEMEI SANTO AMARO</v>
      </c>
      <c r="D184" s="95" t="str">
        <f>IFERROR(__xludf.DUMMYFUNCTION("""COMPUTED_VALUE"""),"INFANTIL 3")</f>
        <v>INFANTIL 3</v>
      </c>
      <c r="E184" s="95" t="str">
        <f>IFERROR(__xludf.DUMMYFUNCTION("""COMPUTED_VALUE"""),"Vespertino/Tarde")</f>
        <v>Vespertino/Tarde</v>
      </c>
      <c r="F184" s="95" t="str">
        <f>IFERROR(__xludf.DUMMYFUNCTION("""COMPUTED_VALUE"""),"Comum")</f>
        <v>Comum</v>
      </c>
      <c r="G184" s="95" t="str">
        <f>IFERROR(__xludf.DUMMYFUNCTION("""COMPUTED_VALUE"""),"1")</f>
        <v>1</v>
      </c>
      <c r="H184" s="95" t="str">
        <f>IFERROR(__xludf.DUMMYFUNCTION("""COMPUTED_VALUE"""),"26012657623")</f>
        <v>26012657623</v>
      </c>
      <c r="I184" s="105" t="str">
        <f>IFERROR(__xludf.DUMMYFUNCTION("""COMPUTED_VALUE"""),"28/01/2026 10:34:12")</f>
        <v>28/01/2026 10:34:12</v>
      </c>
      <c r="J184" s="95" t="str">
        <f>IFERROR(__xludf.DUMMYFUNCTION("""COMPUTED_VALUE"""),"SAMUEL LIMA")</f>
        <v>SAMUEL LIMA</v>
      </c>
      <c r="K184" s="95" t="str">
        <f>IFERROR(__xludf.DUMMYFUNCTION("""COMPUTED_VALUE"""),"183.346.314-56")</f>
        <v>183.346.314-56</v>
      </c>
      <c r="L184" s="104" t="str">
        <f>IFERROR(__xludf.DUMMYFUNCTION("""COMPUTED_VALUE"""),"30/08/2022")</f>
        <v>30/08/2022</v>
      </c>
      <c r="M184" s="104"/>
      <c r="N184" s="95" t="str">
        <f>IFERROR(__xludf.DUMMYFUNCTION("""COMPUTED_VALUE"""),"0")</f>
        <v>0</v>
      </c>
      <c r="O184" s="95"/>
      <c r="P184" s="95"/>
      <c r="Q184" s="95"/>
      <c r="R184" s="95"/>
      <c r="S184" s="95"/>
      <c r="T184" s="95"/>
      <c r="U184" s="95"/>
      <c r="V184" s="95"/>
      <c r="W184" s="95"/>
      <c r="X184" s="95"/>
      <c r="Y184" s="95"/>
      <c r="Z184" s="95"/>
      <c r="AA184" s="95"/>
      <c r="AB184" s="95"/>
      <c r="AC184" s="95"/>
    </row>
    <row r="185" ht="15.75" customHeight="1" spans="1:29">
      <c r="A185" s="95"/>
      <c r="B185" s="95" t="str">
        <f>VLOOKUP(C185,lista_id!$D$2:$F$152,3,0)</f>
        <v>REGIONAL 1</v>
      </c>
      <c r="C185" s="102" t="str">
        <f>IFERROR(__xludf.DUMMYFUNCTION("""COMPUTED_VALUE"""),"CEMEI SANTO AMARO")</f>
        <v>CEMEI SANTO AMARO</v>
      </c>
      <c r="D185" s="95" t="str">
        <f>IFERROR(__xludf.DUMMYFUNCTION("""COMPUTED_VALUE"""),"INFANTIL 3")</f>
        <v>INFANTIL 3</v>
      </c>
      <c r="E185" s="95" t="str">
        <f>IFERROR(__xludf.DUMMYFUNCTION("""COMPUTED_VALUE"""),"Vespertino/Tarde")</f>
        <v>Vespertino/Tarde</v>
      </c>
      <c r="F185" s="95" t="str">
        <f>IFERROR(__xludf.DUMMYFUNCTION("""COMPUTED_VALUE"""),"Comum")</f>
        <v>Comum</v>
      </c>
      <c r="G185" s="95" t="str">
        <f>IFERROR(__xludf.DUMMYFUNCTION("""COMPUTED_VALUE"""),"2")</f>
        <v>2</v>
      </c>
      <c r="H185" s="95" t="str">
        <f>IFERROR(__xludf.DUMMYFUNCTION("""COMPUTED_VALUE"""),"26022032319")</f>
        <v>26022032319</v>
      </c>
      <c r="I185" s="105" t="str">
        <f>IFERROR(__xludf.DUMMYFUNCTION("""COMPUTED_VALUE"""),"24/02/2026 13:10:10")</f>
        <v>24/02/2026 13:10:10</v>
      </c>
      <c r="J185" s="95" t="str">
        <f>IFERROR(__xludf.DUMMYFUNCTION("""COMPUTED_VALUE"""),"GAEL GEOVANNE DE SOUZA RODRIGUES")</f>
        <v>GAEL GEOVANNE DE SOUZA RODRIGUES</v>
      </c>
      <c r="K185" s="95" t="str">
        <f>IFERROR(__xludf.DUMMYFUNCTION("""COMPUTED_VALUE"""),"607.094.828-92")</f>
        <v>607.094.828-92</v>
      </c>
      <c r="L185" s="104" t="str">
        <f>IFERROR(__xludf.DUMMYFUNCTION("""COMPUTED_VALUE"""),"12/12/2022")</f>
        <v>12/12/2022</v>
      </c>
      <c r="M185" s="104"/>
      <c r="N185" s="95" t="str">
        <f>IFERROR(__xludf.DUMMYFUNCTION("""COMPUTED_VALUE"""),"0")</f>
        <v>0</v>
      </c>
      <c r="O185" s="95"/>
      <c r="P185" s="95"/>
      <c r="Q185" s="95"/>
      <c r="R185" s="95"/>
      <c r="S185" s="95"/>
      <c r="T185" s="95"/>
      <c r="U185" s="95"/>
      <c r="V185" s="95"/>
      <c r="W185" s="95"/>
      <c r="X185" s="95"/>
      <c r="Y185" s="95"/>
      <c r="Z185" s="95"/>
      <c r="AA185" s="95"/>
      <c r="AB185" s="95"/>
      <c r="AC185" s="95"/>
    </row>
    <row r="186" ht="15.75" customHeight="1" spans="1:29">
      <c r="A186" s="95"/>
      <c r="B186" s="95" t="str">
        <f>VLOOKUP(C186,lista_id!$D$2:$F$152,3,0)</f>
        <v>REGIONAL 1</v>
      </c>
      <c r="C186" s="102" t="str">
        <f>IFERROR(__xludf.DUMMYFUNCTION("""COMPUTED_VALUE"""),"CEMEI SANTO AMARO")</f>
        <v>CEMEI SANTO AMARO</v>
      </c>
      <c r="D186" s="95" t="str">
        <f>IFERROR(__xludf.DUMMYFUNCTION("""COMPUTED_VALUE"""),"INFANTIL 3")</f>
        <v>INFANTIL 3</v>
      </c>
      <c r="E186" s="95" t="str">
        <f>IFERROR(__xludf.DUMMYFUNCTION("""COMPUTED_VALUE"""),"Vespertino/Tarde")</f>
        <v>Vespertino/Tarde</v>
      </c>
      <c r="F186" s="95" t="str">
        <f>IFERROR(__xludf.DUMMYFUNCTION("""COMPUTED_VALUE"""),"Comum")</f>
        <v>Comum</v>
      </c>
      <c r="G186" s="95" t="str">
        <f>IFERROR(__xludf.DUMMYFUNCTION("""COMPUTED_VALUE"""),"3")</f>
        <v>3</v>
      </c>
      <c r="H186" s="95" t="str">
        <f>IFERROR(__xludf.DUMMYFUNCTION("""COMPUTED_VALUE"""),"26052659495")</f>
        <v>26052659495</v>
      </c>
      <c r="I186" s="103" t="str">
        <f>IFERROR(__xludf.DUMMYFUNCTION("""COMPUTED_VALUE"""),"13/05/2026 19:48:23")</f>
        <v>13/05/2026 19:48:23</v>
      </c>
      <c r="J186" s="95" t="str">
        <f>IFERROR(__xludf.DUMMYFUNCTION("""COMPUTED_VALUE"""),"HELLEN VITÓRIA SILVA RODRIGUES")</f>
        <v>HELLEN VITÓRIA SILVA RODRIGUES</v>
      </c>
      <c r="K186" s="95" t="str">
        <f>IFERROR(__xludf.DUMMYFUNCTION("""COMPUTED_VALUE"""),"181.887.774-04")</f>
        <v>181.887.774-04</v>
      </c>
      <c r="L186" s="104" t="str">
        <f>IFERROR(__xludf.DUMMYFUNCTION("""COMPUTED_VALUE"""),"09/06/2022")</f>
        <v>09/06/2022</v>
      </c>
      <c r="M186" s="106"/>
      <c r="N186" s="95" t="str">
        <f>IFERROR(__xludf.DUMMYFUNCTION("""COMPUTED_VALUE"""),"0")</f>
        <v>0</v>
      </c>
      <c r="O186" s="95"/>
      <c r="P186" s="95"/>
      <c r="Q186" s="95"/>
      <c r="R186" s="95"/>
      <c r="S186" s="95"/>
      <c r="T186" s="95"/>
      <c r="U186" s="95"/>
      <c r="V186" s="95"/>
      <c r="W186" s="95"/>
      <c r="X186" s="95"/>
      <c r="Y186" s="95"/>
      <c r="Z186" s="95"/>
      <c r="AA186" s="95"/>
      <c r="AB186" s="95"/>
      <c r="AC186" s="95"/>
    </row>
    <row r="187" ht="15.75" customHeight="1" spans="1:29">
      <c r="A187" s="95"/>
      <c r="B187" s="95" t="str">
        <f>VLOOKUP(C187,lista_id!$D$2:$F$152,3,0)</f>
        <v>REGIONAL 1</v>
      </c>
      <c r="C187" s="102" t="str">
        <f>IFERROR(__xludf.DUMMYFUNCTION("""COMPUTED_VALUE"""),"CEMEI SANTO AMARO")</f>
        <v>CEMEI SANTO AMARO</v>
      </c>
      <c r="D187" s="95" t="str">
        <f>IFERROR(__xludf.DUMMYFUNCTION("""COMPUTED_VALUE"""),"INFANTIL 3")</f>
        <v>INFANTIL 3</v>
      </c>
      <c r="E187" s="95" t="str">
        <f>IFERROR(__xludf.DUMMYFUNCTION("""COMPUTED_VALUE"""),"Vespertino/Tarde")</f>
        <v>Vespertino/Tarde</v>
      </c>
      <c r="F187" s="95" t="str">
        <f>IFERROR(__xludf.DUMMYFUNCTION("""COMPUTED_VALUE"""),"Comum")</f>
        <v>Comum</v>
      </c>
      <c r="G187" s="95" t="str">
        <f>IFERROR(__xludf.DUMMYFUNCTION("""COMPUTED_VALUE"""),"4")</f>
        <v>4</v>
      </c>
      <c r="H187" s="95" t="str">
        <f>IFERROR(__xludf.DUMMYFUNCTION("""COMPUTED_VALUE"""),"26052824128")</f>
        <v>26052824128</v>
      </c>
      <c r="I187" s="103" t="str">
        <f>IFERROR(__xludf.DUMMYFUNCTION("""COMPUTED_VALUE"""),"20/05/2026 10:33:36")</f>
        <v>20/05/2026 10:33:36</v>
      </c>
      <c r="J187" s="95" t="str">
        <f>IFERROR(__xludf.DUMMYFUNCTION("""COMPUTED_VALUE"""),"BRUNA CECÍLIA DOS IMPOSSÍVEIS GOMES")</f>
        <v>BRUNA CECÍLIA DOS IMPOSSÍVEIS GOMES</v>
      </c>
      <c r="K187" s="95" t="str">
        <f>IFERROR(__xludf.DUMMYFUNCTION("""COMPUTED_VALUE"""),"183.419.034-74")</f>
        <v>183.419.034-74</v>
      </c>
      <c r="L187" s="104" t="str">
        <f>IFERROR(__xludf.DUMMYFUNCTION("""COMPUTED_VALUE"""),"02/11/2022")</f>
        <v>02/11/2022</v>
      </c>
      <c r="M187" s="106"/>
      <c r="N187" s="95" t="str">
        <f>IFERROR(__xludf.DUMMYFUNCTION("""COMPUTED_VALUE"""),"0")</f>
        <v>0</v>
      </c>
      <c r="O187" s="95"/>
      <c r="P187" s="95"/>
      <c r="Q187" s="95"/>
      <c r="R187" s="95"/>
      <c r="S187" s="95"/>
      <c r="T187" s="95"/>
      <c r="U187" s="95"/>
      <c r="V187" s="95"/>
      <c r="W187" s="95"/>
      <c r="X187" s="95"/>
      <c r="Y187" s="95"/>
      <c r="Z187" s="95"/>
      <c r="AA187" s="95"/>
      <c r="AB187" s="95"/>
      <c r="AC187" s="95"/>
    </row>
    <row r="188" ht="15.75" customHeight="1" spans="1:29">
      <c r="A188" s="95"/>
      <c r="B188" s="95" t="str">
        <f>VLOOKUP(C188,lista_id!$D$2:$F$152,3,0)</f>
        <v>REGIONAL 1</v>
      </c>
      <c r="C188" s="102" t="str">
        <f>IFERROR(__xludf.DUMMYFUNCTION("""COMPUTED_VALUE"""),"CEMEI SANTO AMARO")</f>
        <v>CEMEI SANTO AMARO</v>
      </c>
      <c r="D188" s="95" t="str">
        <f>IFERROR(__xludf.DUMMYFUNCTION("""COMPUTED_VALUE"""),"INFANTIL 3")</f>
        <v>INFANTIL 3</v>
      </c>
      <c r="E188" s="95" t="str">
        <f>IFERROR(__xludf.DUMMYFUNCTION("""COMPUTED_VALUE"""),"Vespertino/Tarde")</f>
        <v>Vespertino/Tarde</v>
      </c>
      <c r="F188" s="95" t="str">
        <f>IFERROR(__xludf.DUMMYFUNCTION("""COMPUTED_VALUE"""),"Comum")</f>
        <v>Comum</v>
      </c>
      <c r="G188" s="95" t="str">
        <f>IFERROR(__xludf.DUMMYFUNCTION("""COMPUTED_VALUE"""),"5")</f>
        <v>5</v>
      </c>
      <c r="H188" s="95" t="str">
        <f>IFERROR(__xludf.DUMMYFUNCTION("""COMPUTED_VALUE"""),"26052071068")</f>
        <v>26052071068</v>
      </c>
      <c r="I188" s="103" t="str">
        <f>IFERROR(__xludf.DUMMYFUNCTION("""COMPUTED_VALUE"""),"25/05/2026 08:40:05")</f>
        <v>25/05/2026 08:40:05</v>
      </c>
      <c r="J188" s="95" t="str">
        <f>IFERROR(__xludf.DUMMYFUNCTION("""COMPUTED_VALUE"""),"Eloá Maria de Moraes prazeres")</f>
        <v>Eloá Maria de Moraes prazeres</v>
      </c>
      <c r="K188" s="95" t="str">
        <f>IFERROR(__xludf.DUMMYFUNCTION("""COMPUTED_VALUE"""),"184.570.414-28")</f>
        <v>184.570.414-28</v>
      </c>
      <c r="L188" s="104" t="str">
        <f>IFERROR(__xludf.DUMMYFUNCTION("""COMPUTED_VALUE"""),"25/02/2023")</f>
        <v>25/02/2023</v>
      </c>
      <c r="M188" s="104"/>
      <c r="N188" s="95" t="str">
        <f>IFERROR(__xludf.DUMMYFUNCTION("""COMPUTED_VALUE"""),"0")</f>
        <v>0</v>
      </c>
      <c r="O188" s="95"/>
      <c r="P188" s="95"/>
      <c r="Q188" s="95"/>
      <c r="R188" s="95"/>
      <c r="S188" s="95"/>
      <c r="T188" s="95"/>
      <c r="U188" s="95"/>
      <c r="V188" s="95"/>
      <c r="W188" s="95"/>
      <c r="X188" s="95"/>
      <c r="Y188" s="95"/>
      <c r="Z188" s="95"/>
      <c r="AA188" s="95"/>
      <c r="AB188" s="95"/>
      <c r="AC188" s="95"/>
    </row>
    <row r="189" ht="15.75" customHeight="1" spans="1:29">
      <c r="A189" s="95"/>
      <c r="B189" s="95" t="str">
        <f>VLOOKUP(C189,lista_id!$D$2:$F$152,3,0)</f>
        <v>REGIONAL 5</v>
      </c>
      <c r="C189" s="102" t="str">
        <f>IFERROR(__xludf.DUMMYFUNCTION("""COMPUTED_VALUE"""),"CEMEI SILVIA MARIA DE OLIVEIRA")</f>
        <v>CEMEI SILVIA MARIA DE OLIVEIRA</v>
      </c>
      <c r="D189" s="95" t="str">
        <f>IFERROR(__xludf.DUMMYFUNCTION("""COMPUTED_VALUE"""),"INFANTIL 1")</f>
        <v>INFANTIL 1</v>
      </c>
      <c r="E189" s="95" t="str">
        <f>IFERROR(__xludf.DUMMYFUNCTION("""COMPUTED_VALUE"""),"Integral")</f>
        <v>Integral</v>
      </c>
      <c r="F189" s="95" t="str">
        <f>IFERROR(__xludf.DUMMYFUNCTION("""COMPUTED_VALUE"""),"Comum")</f>
        <v>Comum</v>
      </c>
      <c r="G189" s="95" t="str">
        <f>IFERROR(__xludf.DUMMYFUNCTION("""COMPUTED_VALUE"""),"1")</f>
        <v>1</v>
      </c>
      <c r="H189" s="95" t="str">
        <f>IFERROR(__xludf.DUMMYFUNCTION("""COMPUTED_VALUE"""),"26012525884")</f>
        <v>26012525884</v>
      </c>
      <c r="I189" s="103" t="str">
        <f>IFERROR(__xludf.DUMMYFUNCTION("""COMPUTED_VALUE"""),"28/01/2026 21:43:18")</f>
        <v>28/01/2026 21:43:18</v>
      </c>
      <c r="J189" s="95" t="str">
        <f>IFERROR(__xludf.DUMMYFUNCTION("""COMPUTED_VALUE"""),"ALLEFF DAVI DE OLIVEIRA ALVES")</f>
        <v>ALLEFF DAVI DE OLIVEIRA ALVES</v>
      </c>
      <c r="K189" s="95" t="str">
        <f>IFERROR(__xludf.DUMMYFUNCTION("""COMPUTED_VALUE"""),"005.136.884-63")</f>
        <v>005.136.884-63</v>
      </c>
      <c r="L189" s="104" t="str">
        <f>IFERROR(__xludf.DUMMYFUNCTION("""COMPUTED_VALUE"""),"10/10/2024")</f>
        <v>10/10/2024</v>
      </c>
      <c r="M189" s="106"/>
      <c r="N189" s="95" t="str">
        <f>IFERROR(__xludf.DUMMYFUNCTION("""COMPUTED_VALUE"""),"0")</f>
        <v>0</v>
      </c>
      <c r="O189" s="95"/>
      <c r="P189" s="95"/>
      <c r="Q189" s="95"/>
      <c r="R189" s="95"/>
      <c r="S189" s="95"/>
      <c r="T189" s="95"/>
      <c r="U189" s="95"/>
      <c r="V189" s="95"/>
      <c r="W189" s="95"/>
      <c r="X189" s="95"/>
      <c r="Y189" s="95"/>
      <c r="Z189" s="95"/>
      <c r="AA189" s="95"/>
      <c r="AB189" s="95"/>
      <c r="AC189" s="95"/>
    </row>
    <row r="190" ht="15.75" customHeight="1" spans="1:29">
      <c r="A190" s="95"/>
      <c r="B190" s="95" t="str">
        <f>VLOOKUP(C190,lista_id!$D$2:$F$152,3,0)</f>
        <v>REGIONAL 5</v>
      </c>
      <c r="C190" s="102" t="str">
        <f>IFERROR(__xludf.DUMMYFUNCTION("""COMPUTED_VALUE"""),"CEMEI SILVIA MARIA DE OLIVEIRA")</f>
        <v>CEMEI SILVIA MARIA DE OLIVEIRA</v>
      </c>
      <c r="D190" s="95" t="str">
        <f>IFERROR(__xludf.DUMMYFUNCTION("""COMPUTED_VALUE"""),"INFANTIL 2")</f>
        <v>INFANTIL 2</v>
      </c>
      <c r="E190" s="95" t="str">
        <f>IFERROR(__xludf.DUMMYFUNCTION("""COMPUTED_VALUE"""),"Integral")</f>
        <v>Integral</v>
      </c>
      <c r="F190" s="95" t="str">
        <f>IFERROR(__xludf.DUMMYFUNCTION("""COMPUTED_VALUE"""),"Comum")</f>
        <v>Comum</v>
      </c>
      <c r="G190" s="95" t="str">
        <f>IFERROR(__xludf.DUMMYFUNCTION("""COMPUTED_VALUE"""),"1")</f>
        <v>1</v>
      </c>
      <c r="H190" s="95" t="str">
        <f>IFERROR(__xludf.DUMMYFUNCTION("""COMPUTED_VALUE"""),"26052689284")</f>
        <v>26052689284</v>
      </c>
      <c r="I190" s="103" t="str">
        <f>IFERROR(__xludf.DUMMYFUNCTION("""COMPUTED_VALUE"""),"08/05/2026 18:02:36")</f>
        <v>08/05/2026 18:02:36</v>
      </c>
      <c r="J190" s="95" t="str">
        <f>IFERROR(__xludf.DUMMYFUNCTION("""COMPUTED_VALUE"""),"ARTHUR GABRIEL LIMA DA SILVA")</f>
        <v>ARTHUR GABRIEL LIMA DA SILVA</v>
      </c>
      <c r="K190" s="95" t="str">
        <f>IFERROR(__xludf.DUMMYFUNCTION("""COMPUTED_VALUE"""),"002.280.454-44")</f>
        <v>002.280.454-44</v>
      </c>
      <c r="L190" s="104" t="str">
        <f>IFERROR(__xludf.DUMMYFUNCTION("""COMPUTED_VALUE"""),"14/03/2024")</f>
        <v>14/03/2024</v>
      </c>
      <c r="M190" s="104"/>
      <c r="N190" s="95" t="str">
        <f>IFERROR(__xludf.DUMMYFUNCTION("""COMPUTED_VALUE"""),"0")</f>
        <v>0</v>
      </c>
      <c r="O190" s="95"/>
      <c r="P190" s="95"/>
      <c r="Q190" s="95"/>
      <c r="R190" s="95"/>
      <c r="S190" s="95"/>
      <c r="T190" s="95"/>
      <c r="U190" s="95"/>
      <c r="V190" s="95"/>
      <c r="W190" s="95"/>
      <c r="X190" s="95"/>
      <c r="Y190" s="95"/>
      <c r="Z190" s="95"/>
      <c r="AA190" s="95"/>
      <c r="AB190" s="95"/>
      <c r="AC190" s="95"/>
    </row>
    <row r="191" ht="15.75" customHeight="1" spans="1:29">
      <c r="A191" s="95"/>
      <c r="B191" s="95" t="str">
        <f>VLOOKUP(C191,lista_id!$D$2:$F$152,3,0)</f>
        <v>REGIONAL 2</v>
      </c>
      <c r="C191" s="102" t="str">
        <f>IFERROR(__xludf.DUMMYFUNCTION("""COMPUTED_VALUE"""),"CENTRO EDUCACIONAL CRISTO REDENTOR")</f>
        <v>CENTRO EDUCACIONAL CRISTO REDENTOR</v>
      </c>
      <c r="D191" s="95" t="str">
        <f>IFERROR(__xludf.DUMMYFUNCTION("""COMPUTED_VALUE"""),"INFANTIL 5")</f>
        <v>INFANTIL 5</v>
      </c>
      <c r="E191" s="95" t="str">
        <f>IFERROR(__xludf.DUMMYFUNCTION("""COMPUTED_VALUE"""),"Matutino/Manhã")</f>
        <v>Matutino/Manhã</v>
      </c>
      <c r="F191" s="95" t="str">
        <f>IFERROR(__xludf.DUMMYFUNCTION("""COMPUTED_VALUE"""),"Comum")</f>
        <v>Comum</v>
      </c>
      <c r="G191" s="95" t="str">
        <f>IFERROR(__xludf.DUMMYFUNCTION("""COMPUTED_VALUE"""),"1")</f>
        <v>1</v>
      </c>
      <c r="H191" s="95" t="str">
        <f>IFERROR(__xludf.DUMMYFUNCTION("""COMPUTED_VALUE"""),"26022350581")</f>
        <v>26022350581</v>
      </c>
      <c r="I191" s="103" t="str">
        <f>IFERROR(__xludf.DUMMYFUNCTION("""COMPUTED_VALUE"""),"06/02/2026 09:25:16")</f>
        <v>06/02/2026 09:25:16</v>
      </c>
      <c r="J191" s="95" t="str">
        <f>IFERROR(__xludf.DUMMYFUNCTION("""COMPUTED_VALUE"""),"MARIA RITA DEMETRIO DE MELO")</f>
        <v>MARIA RITA DEMETRIO DE MELO</v>
      </c>
      <c r="K191" s="95" t="str">
        <f>IFERROR(__xludf.DUMMYFUNCTION("""COMPUTED_VALUE"""),"171.919.424-60")</f>
        <v>171.919.424-60</v>
      </c>
      <c r="L191" s="104" t="str">
        <f>IFERROR(__xludf.DUMMYFUNCTION("""COMPUTED_VALUE"""),"19/05/2020")</f>
        <v>19/05/2020</v>
      </c>
      <c r="M191" s="104"/>
      <c r="N191" s="95" t="str">
        <f>IFERROR(__xludf.DUMMYFUNCTION("""COMPUTED_VALUE"""),"0")</f>
        <v>0</v>
      </c>
      <c r="O191" s="95"/>
      <c r="P191" s="95"/>
      <c r="Q191" s="95"/>
      <c r="R191" s="95"/>
      <c r="S191" s="95"/>
      <c r="T191" s="95"/>
      <c r="U191" s="95"/>
      <c r="V191" s="95"/>
      <c r="W191" s="95"/>
      <c r="X191" s="95"/>
      <c r="Y191" s="95"/>
      <c r="Z191" s="95"/>
      <c r="AA191" s="95"/>
      <c r="AB191" s="95"/>
      <c r="AC191" s="95"/>
    </row>
    <row r="192" ht="15.75" customHeight="1" spans="1:29">
      <c r="A192" s="95"/>
      <c r="B192" s="95" t="str">
        <f>VLOOKUP(C192,lista_id!$D$2:$F$152,3,0)</f>
        <v>REGIONAL 2</v>
      </c>
      <c r="C192" s="102" t="str">
        <f>IFERROR(__xludf.DUMMYFUNCTION("""COMPUTED_VALUE"""),"CENTRO EDUCACIONAL CRISTO REDENTOR")</f>
        <v>CENTRO EDUCACIONAL CRISTO REDENTOR</v>
      </c>
      <c r="D192" s="95" t="str">
        <f>IFERROR(__xludf.DUMMYFUNCTION("""COMPUTED_VALUE"""),"INFANTIL 5")</f>
        <v>INFANTIL 5</v>
      </c>
      <c r="E192" s="95" t="str">
        <f>IFERROR(__xludf.DUMMYFUNCTION("""COMPUTED_VALUE"""),"Matutino/Manhã")</f>
        <v>Matutino/Manhã</v>
      </c>
      <c r="F192" s="95" t="str">
        <f>IFERROR(__xludf.DUMMYFUNCTION("""COMPUTED_VALUE"""),"Comum")</f>
        <v>Comum</v>
      </c>
      <c r="G192" s="95" t="str">
        <f>IFERROR(__xludf.DUMMYFUNCTION("""COMPUTED_VALUE"""),"2")</f>
        <v>2</v>
      </c>
      <c r="H192" s="95" t="str">
        <f>IFERROR(__xludf.DUMMYFUNCTION("""COMPUTED_VALUE"""),"26022164873")</f>
        <v>26022164873</v>
      </c>
      <c r="I192" s="103" t="str">
        <f>IFERROR(__xludf.DUMMYFUNCTION("""COMPUTED_VALUE"""),"06/02/2026 09:28:34")</f>
        <v>06/02/2026 09:28:34</v>
      </c>
      <c r="J192" s="95" t="str">
        <f>IFERROR(__xludf.DUMMYFUNCTION("""COMPUTED_VALUE"""),"MARIA FERNANDA DEMETRIO DE MELO")</f>
        <v>MARIA FERNANDA DEMETRIO DE MELO</v>
      </c>
      <c r="K192" s="95" t="str">
        <f>IFERROR(__xludf.DUMMYFUNCTION("""COMPUTED_VALUE"""),"171.919.664-83")</f>
        <v>171.919.664-83</v>
      </c>
      <c r="L192" s="104" t="str">
        <f>IFERROR(__xludf.DUMMYFUNCTION("""COMPUTED_VALUE"""),"19/05/2020")</f>
        <v>19/05/2020</v>
      </c>
      <c r="M192" s="104"/>
      <c r="N192" s="95" t="str">
        <f>IFERROR(__xludf.DUMMYFUNCTION("""COMPUTED_VALUE"""),"0")</f>
        <v>0</v>
      </c>
      <c r="O192" s="95"/>
      <c r="P192" s="95"/>
      <c r="Q192" s="95"/>
      <c r="R192" s="95"/>
      <c r="S192" s="95"/>
      <c r="T192" s="95"/>
      <c r="U192" s="95"/>
      <c r="V192" s="95"/>
      <c r="W192" s="95"/>
      <c r="X192" s="95"/>
      <c r="Y192" s="95"/>
      <c r="Z192" s="95"/>
      <c r="AA192" s="95"/>
      <c r="AB192" s="95"/>
      <c r="AC192" s="95"/>
    </row>
    <row r="193" ht="15.75" customHeight="1" spans="1:29">
      <c r="A193" s="95"/>
      <c r="B193" s="95" t="str">
        <f>VLOOKUP(C193,lista_id!$D$2:$F$152,3,0)</f>
        <v>REGIONAL 4</v>
      </c>
      <c r="C193" s="102" t="str">
        <f>IFERROR(__xludf.DUMMYFUNCTION("""COMPUTED_VALUE"""),"CENTRO MUNICIPAL DE EDUCAÇÃO INFANTIL MARCOS FREIRE")</f>
        <v>CENTRO MUNICIPAL DE EDUCAÇÃO INFANTIL MARCOS FREIRE</v>
      </c>
      <c r="D193" s="95" t="str">
        <f>IFERROR(__xludf.DUMMYFUNCTION("""COMPUTED_VALUE"""),"INFANTIL 1")</f>
        <v>INFANTIL 1</v>
      </c>
      <c r="E193" s="95" t="str">
        <f>IFERROR(__xludf.DUMMYFUNCTION("""COMPUTED_VALUE"""),"Integral")</f>
        <v>Integral</v>
      </c>
      <c r="F193" s="95" t="str">
        <f>IFERROR(__xludf.DUMMYFUNCTION("""COMPUTED_VALUE"""),"Comum")</f>
        <v>Comum</v>
      </c>
      <c r="G193" s="95" t="str">
        <f>IFERROR(__xludf.DUMMYFUNCTION("""COMPUTED_VALUE"""),"1")</f>
        <v>1</v>
      </c>
      <c r="H193" s="95" t="str">
        <f>IFERROR(__xludf.DUMMYFUNCTION("""COMPUTED_VALUE"""),"26032416637")</f>
        <v>26032416637</v>
      </c>
      <c r="I193" s="103" t="str">
        <f>IFERROR(__xludf.DUMMYFUNCTION("""COMPUTED_VALUE"""),"02/03/2026 13:05:13")</f>
        <v>02/03/2026 13:05:13</v>
      </c>
      <c r="J193" s="95" t="str">
        <f>IFERROR(__xludf.DUMMYFUNCTION("""COMPUTED_VALUE"""),"ARIELLY VICTORIA DA SILVA LEANDRO")</f>
        <v>ARIELLY VICTORIA DA SILVA LEANDRO</v>
      </c>
      <c r="K193" s="95" t="str">
        <f>IFERROR(__xludf.DUMMYFUNCTION("""COMPUTED_VALUE"""),"024.884.774-00")</f>
        <v>024.884.774-00</v>
      </c>
      <c r="L193" s="104" t="str">
        <f>IFERROR(__xludf.DUMMYFUNCTION("""COMPUTED_VALUE"""),"15/11/2025")</f>
        <v>15/11/2025</v>
      </c>
      <c r="M193" s="104"/>
      <c r="N193" s="95" t="str">
        <f>IFERROR(__xludf.DUMMYFUNCTION("""COMPUTED_VALUE"""),"0")</f>
        <v>0</v>
      </c>
      <c r="O193" s="95"/>
      <c r="P193" s="95"/>
      <c r="Q193" s="95"/>
      <c r="R193" s="95"/>
      <c r="S193" s="95"/>
      <c r="T193" s="95"/>
      <c r="U193" s="95"/>
      <c r="V193" s="95"/>
      <c r="W193" s="95"/>
      <c r="X193" s="95"/>
      <c r="Y193" s="95"/>
      <c r="Z193" s="95"/>
      <c r="AA193" s="95"/>
      <c r="AB193" s="95"/>
      <c r="AC193" s="95"/>
    </row>
    <row r="194" ht="15.75" customHeight="1" spans="1:29">
      <c r="A194" s="95"/>
      <c r="B194" s="95" t="str">
        <f>VLOOKUP(C194,lista_id!$D$2:$F$152,3,0)</f>
        <v>REGIONAL 4</v>
      </c>
      <c r="C194" s="102" t="str">
        <f>IFERROR(__xludf.DUMMYFUNCTION("""COMPUTED_VALUE"""),"CENTRO MUNICIPAL DE EDUCAÇÃO INFANTIL MARCOS FREIRE")</f>
        <v>CENTRO MUNICIPAL DE EDUCAÇÃO INFANTIL MARCOS FREIRE</v>
      </c>
      <c r="D194" s="95" t="str">
        <f>IFERROR(__xludf.DUMMYFUNCTION("""COMPUTED_VALUE"""),"INFANTIL 1")</f>
        <v>INFANTIL 1</v>
      </c>
      <c r="E194" s="95" t="str">
        <f>IFERROR(__xludf.DUMMYFUNCTION("""COMPUTED_VALUE"""),"Integral")</f>
        <v>Integral</v>
      </c>
      <c r="F194" s="95" t="str">
        <f>IFERROR(__xludf.DUMMYFUNCTION("""COMPUTED_VALUE"""),"Comum")</f>
        <v>Comum</v>
      </c>
      <c r="G194" s="95" t="str">
        <f>IFERROR(__xludf.DUMMYFUNCTION("""COMPUTED_VALUE"""),"2")</f>
        <v>2</v>
      </c>
      <c r="H194" s="95" t="str">
        <f>IFERROR(__xludf.DUMMYFUNCTION("""COMPUTED_VALUE"""),"26032811718")</f>
        <v>26032811718</v>
      </c>
      <c r="I194" s="103" t="str">
        <f>IFERROR(__xludf.DUMMYFUNCTION("""COMPUTED_VALUE"""),"03/03/2026 09:31:27")</f>
        <v>03/03/2026 09:31:27</v>
      </c>
      <c r="J194" s="95" t="str">
        <f>IFERROR(__xludf.DUMMYFUNCTION("""COMPUTED_VALUE"""),"JADE KLARISSE GOMES DO NASCIMENTO")</f>
        <v>JADE KLARISSE GOMES DO NASCIMENTO</v>
      </c>
      <c r="K194" s="95" t="str">
        <f>IFERROR(__xludf.DUMMYFUNCTION("""COMPUTED_VALUE"""),"003.669.294-88")</f>
        <v>003.669.294-88</v>
      </c>
      <c r="L194" s="104" t="str">
        <f>IFERROR(__xludf.DUMMYFUNCTION("""COMPUTED_VALUE"""),"25/07/2024")</f>
        <v>25/07/2024</v>
      </c>
      <c r="M194" s="104"/>
      <c r="N194" s="95" t="str">
        <f>IFERROR(__xludf.DUMMYFUNCTION("""COMPUTED_VALUE"""),"0")</f>
        <v>0</v>
      </c>
      <c r="O194" s="95"/>
      <c r="P194" s="95"/>
      <c r="Q194" s="95"/>
      <c r="R194" s="95"/>
      <c r="S194" s="95"/>
      <c r="T194" s="95"/>
      <c r="U194" s="95"/>
      <c r="V194" s="95"/>
      <c r="W194" s="95"/>
      <c r="X194" s="95"/>
      <c r="Y194" s="95"/>
      <c r="Z194" s="95"/>
      <c r="AA194" s="95"/>
      <c r="AB194" s="95"/>
      <c r="AC194" s="95"/>
    </row>
    <row r="195" ht="15.75" customHeight="1" spans="1:29">
      <c r="A195" s="95"/>
      <c r="B195" s="95" t="str">
        <f>VLOOKUP(C195,lista_id!$D$2:$F$152,3,0)</f>
        <v>REGIONAL 4</v>
      </c>
      <c r="C195" s="102" t="str">
        <f>IFERROR(__xludf.DUMMYFUNCTION("""COMPUTED_VALUE"""),"CENTRO MUNICIPAL DE EDUCAÇÃO INFANTIL MARCOS FREIRE")</f>
        <v>CENTRO MUNICIPAL DE EDUCAÇÃO INFANTIL MARCOS FREIRE</v>
      </c>
      <c r="D195" s="95" t="str">
        <f>IFERROR(__xludf.DUMMYFUNCTION("""COMPUTED_VALUE"""),"INFANTIL 1")</f>
        <v>INFANTIL 1</v>
      </c>
      <c r="E195" s="95" t="str">
        <f>IFERROR(__xludf.DUMMYFUNCTION("""COMPUTED_VALUE"""),"Integral")</f>
        <v>Integral</v>
      </c>
      <c r="F195" s="95" t="str">
        <f>IFERROR(__xludf.DUMMYFUNCTION("""COMPUTED_VALUE"""),"Comum")</f>
        <v>Comum</v>
      </c>
      <c r="G195" s="95" t="str">
        <f>IFERROR(__xludf.DUMMYFUNCTION("""COMPUTED_VALUE"""),"3")</f>
        <v>3</v>
      </c>
      <c r="H195" s="95" t="str">
        <f>IFERROR(__xludf.DUMMYFUNCTION("""COMPUTED_VALUE"""),"26032733195")</f>
        <v>26032733195</v>
      </c>
      <c r="I195" s="103" t="str">
        <f>IFERROR(__xludf.DUMMYFUNCTION("""COMPUTED_VALUE"""),"11/03/2026 16:45:43")</f>
        <v>11/03/2026 16:45:43</v>
      </c>
      <c r="J195" s="95" t="str">
        <f>IFERROR(__xludf.DUMMYFUNCTION("""COMPUTED_VALUE"""),"JOSE CALLEB DA SILVA")</f>
        <v>JOSE CALLEB DA SILVA</v>
      </c>
      <c r="K195" s="95" t="str">
        <f>IFERROR(__xludf.DUMMYFUNCTION("""COMPUTED_VALUE"""),"007.131.994-82")</f>
        <v>007.131.994-82</v>
      </c>
      <c r="L195" s="104" t="str">
        <f>IFERROR(__xludf.DUMMYFUNCTION("""COMPUTED_VALUE"""),"13/08/2025")</f>
        <v>13/08/2025</v>
      </c>
      <c r="M195" s="104"/>
      <c r="N195" s="95" t="str">
        <f>IFERROR(__xludf.DUMMYFUNCTION("""COMPUTED_VALUE"""),"0")</f>
        <v>0</v>
      </c>
      <c r="O195" s="95"/>
      <c r="P195" s="95"/>
      <c r="Q195" s="95"/>
      <c r="R195" s="95"/>
      <c r="S195" s="95"/>
      <c r="T195" s="95"/>
      <c r="U195" s="95"/>
      <c r="V195" s="95"/>
      <c r="W195" s="95"/>
      <c r="X195" s="95"/>
      <c r="Y195" s="95"/>
      <c r="Z195" s="95"/>
      <c r="AA195" s="95"/>
      <c r="AB195" s="95"/>
      <c r="AC195" s="95"/>
    </row>
    <row r="196" ht="15.75" customHeight="1" spans="1:29">
      <c r="A196" s="95"/>
      <c r="B196" s="95" t="str">
        <f>VLOOKUP(C196,lista_id!$D$2:$F$152,3,0)</f>
        <v>REGIONAL 4</v>
      </c>
      <c r="C196" s="102" t="str">
        <f>IFERROR(__xludf.DUMMYFUNCTION("""COMPUTED_VALUE"""),"CENTRO MUNICIPAL DE EDUCAÇÃO INFANTIL MARCOS FREIRE")</f>
        <v>CENTRO MUNICIPAL DE EDUCAÇÃO INFANTIL MARCOS FREIRE</v>
      </c>
      <c r="D196" s="95" t="str">
        <f>IFERROR(__xludf.DUMMYFUNCTION("""COMPUTED_VALUE"""),"INFANTIL 1")</f>
        <v>INFANTIL 1</v>
      </c>
      <c r="E196" s="95" t="str">
        <f>IFERROR(__xludf.DUMMYFUNCTION("""COMPUTED_VALUE"""),"Integral")</f>
        <v>Integral</v>
      </c>
      <c r="F196" s="95" t="str">
        <f>IFERROR(__xludf.DUMMYFUNCTION("""COMPUTED_VALUE"""),"Comum")</f>
        <v>Comum</v>
      </c>
      <c r="G196" s="95" t="str">
        <f>IFERROR(__xludf.DUMMYFUNCTION("""COMPUTED_VALUE"""),"4")</f>
        <v>4</v>
      </c>
      <c r="H196" s="95" t="str">
        <f>IFERROR(__xludf.DUMMYFUNCTION("""COMPUTED_VALUE"""),"26032411794")</f>
        <v>26032411794</v>
      </c>
      <c r="I196" s="103" t="str">
        <f>IFERROR(__xludf.DUMMYFUNCTION("""COMPUTED_VALUE"""),"12/03/2026 06:29:35")</f>
        <v>12/03/2026 06:29:35</v>
      </c>
      <c r="J196" s="95" t="str">
        <f>IFERROR(__xludf.DUMMYFUNCTION("""COMPUTED_VALUE"""),"MARIA ISADORA ALBUQUERQUE DE SANTANA")</f>
        <v>MARIA ISADORA ALBUQUERQUE DE SANTANA</v>
      </c>
      <c r="K196" s="95" t="str">
        <f>IFERROR(__xludf.DUMMYFUNCTION("""COMPUTED_VALUE"""),"005.362.524-24")</f>
        <v>005.362.524-24</v>
      </c>
      <c r="L196" s="106" t="str">
        <f>IFERROR(__xludf.DUMMYFUNCTION("""COMPUTED_VALUE"""),"13/02/2025")</f>
        <v>13/02/2025</v>
      </c>
      <c r="M196" s="104"/>
      <c r="N196" s="95" t="str">
        <f>IFERROR(__xludf.DUMMYFUNCTION("""COMPUTED_VALUE"""),"0")</f>
        <v>0</v>
      </c>
      <c r="O196" s="95"/>
      <c r="P196" s="95"/>
      <c r="Q196" s="95"/>
      <c r="R196" s="95"/>
      <c r="S196" s="95"/>
      <c r="T196" s="95"/>
      <c r="U196" s="95"/>
      <c r="V196" s="95"/>
      <c r="W196" s="95"/>
      <c r="X196" s="95"/>
      <c r="Y196" s="95"/>
      <c r="Z196" s="95"/>
      <c r="AA196" s="95"/>
      <c r="AB196" s="95"/>
      <c r="AC196" s="95"/>
    </row>
    <row r="197" ht="15.75" customHeight="1" spans="1:29">
      <c r="A197" s="95"/>
      <c r="B197" s="95" t="str">
        <f>VLOOKUP(C197,lista_id!$D$2:$F$152,3,0)</f>
        <v>REGIONAL 4</v>
      </c>
      <c r="C197" s="102" t="str">
        <f>IFERROR(__xludf.DUMMYFUNCTION("""COMPUTED_VALUE"""),"CENTRO MUNICIPAL DE EDUCAÇÃO INFANTIL MARCOS FREIRE")</f>
        <v>CENTRO MUNICIPAL DE EDUCAÇÃO INFANTIL MARCOS FREIRE</v>
      </c>
      <c r="D197" s="95" t="str">
        <f>IFERROR(__xludf.DUMMYFUNCTION("""COMPUTED_VALUE"""),"INFANTIL 1")</f>
        <v>INFANTIL 1</v>
      </c>
      <c r="E197" s="95" t="str">
        <f>IFERROR(__xludf.DUMMYFUNCTION("""COMPUTED_VALUE"""),"Integral")</f>
        <v>Integral</v>
      </c>
      <c r="F197" s="95" t="str">
        <f>IFERROR(__xludf.DUMMYFUNCTION("""COMPUTED_VALUE"""),"Comum")</f>
        <v>Comum</v>
      </c>
      <c r="G197" s="95" t="str">
        <f>IFERROR(__xludf.DUMMYFUNCTION("""COMPUTED_VALUE"""),"5")</f>
        <v>5</v>
      </c>
      <c r="H197" s="95" t="str">
        <f>IFERROR(__xludf.DUMMYFUNCTION("""COMPUTED_VALUE"""),"26032317348")</f>
        <v>26032317348</v>
      </c>
      <c r="I197" s="103" t="str">
        <f>IFERROR(__xludf.DUMMYFUNCTION("""COMPUTED_VALUE"""),"18/03/2026 11:00:34")</f>
        <v>18/03/2026 11:00:34</v>
      </c>
      <c r="J197" s="95" t="str">
        <f>IFERROR(__xludf.DUMMYFUNCTION("""COMPUTED_VALUE"""),"BRYAN CALEB DOS SANTOS CORREIA")</f>
        <v>BRYAN CALEB DOS SANTOS CORREIA</v>
      </c>
      <c r="K197" s="95" t="str">
        <f>IFERROR(__xludf.DUMMYFUNCTION("""COMPUTED_VALUE"""),"006.316.154-07")</f>
        <v>006.316.154-07</v>
      </c>
      <c r="L197" s="104" t="str">
        <f>IFERROR(__xludf.DUMMYFUNCTION("""COMPUTED_VALUE"""),"28/05/2025")</f>
        <v>28/05/2025</v>
      </c>
      <c r="M197" s="104"/>
      <c r="N197" s="95" t="str">
        <f>IFERROR(__xludf.DUMMYFUNCTION("""COMPUTED_VALUE"""),"0")</f>
        <v>0</v>
      </c>
      <c r="O197" s="95"/>
      <c r="P197" s="95"/>
      <c r="Q197" s="95"/>
      <c r="R197" s="95"/>
      <c r="S197" s="95"/>
      <c r="T197" s="95"/>
      <c r="U197" s="95"/>
      <c r="V197" s="95"/>
      <c r="W197" s="95"/>
      <c r="X197" s="95"/>
      <c r="Y197" s="95"/>
      <c r="Z197" s="95"/>
      <c r="AA197" s="95"/>
      <c r="AB197" s="95"/>
      <c r="AC197" s="95"/>
    </row>
    <row r="198" ht="15.75" customHeight="1" spans="1:29">
      <c r="A198" s="95"/>
      <c r="B198" s="95" t="str">
        <f>VLOOKUP(C198,lista_id!$D$2:$F$152,3,0)</f>
        <v>REGIONAL 4</v>
      </c>
      <c r="C198" s="102" t="str">
        <f>IFERROR(__xludf.DUMMYFUNCTION("""COMPUTED_VALUE"""),"CENTRO MUNICIPAL DE EDUCAÇÃO INFANTIL MARCOS FREIRE")</f>
        <v>CENTRO MUNICIPAL DE EDUCAÇÃO INFANTIL MARCOS FREIRE</v>
      </c>
      <c r="D198" s="95" t="str">
        <f>IFERROR(__xludf.DUMMYFUNCTION("""COMPUTED_VALUE"""),"INFANTIL 1")</f>
        <v>INFANTIL 1</v>
      </c>
      <c r="E198" s="95" t="str">
        <f>IFERROR(__xludf.DUMMYFUNCTION("""COMPUTED_VALUE"""),"Integral")</f>
        <v>Integral</v>
      </c>
      <c r="F198" s="95" t="str">
        <f>IFERROR(__xludf.DUMMYFUNCTION("""COMPUTED_VALUE"""),"Comum")</f>
        <v>Comum</v>
      </c>
      <c r="G198" s="95" t="str">
        <f>IFERROR(__xludf.DUMMYFUNCTION("""COMPUTED_VALUE"""),"6")</f>
        <v>6</v>
      </c>
      <c r="H198" s="95" t="str">
        <f>IFERROR(__xludf.DUMMYFUNCTION("""COMPUTED_VALUE"""),"26032058550")</f>
        <v>26032058550</v>
      </c>
      <c r="I198" s="103" t="str">
        <f>IFERROR(__xludf.DUMMYFUNCTION("""COMPUTED_VALUE"""),"23/03/2026 12:20:04")</f>
        <v>23/03/2026 12:20:04</v>
      </c>
      <c r="J198" s="95" t="str">
        <f>IFERROR(__xludf.DUMMYFUNCTION("""COMPUTED_VALUE"""),"DALILA DOS SANTOS")</f>
        <v>DALILA DOS SANTOS</v>
      </c>
      <c r="K198" s="95" t="str">
        <f>IFERROR(__xludf.DUMMYFUNCTION("""COMPUTED_VALUE"""),"002.673.744-29")</f>
        <v>002.673.744-29</v>
      </c>
      <c r="L198" s="104" t="str">
        <f>IFERROR(__xludf.DUMMYFUNCTION("""COMPUTED_VALUE"""),"09/04/2024")</f>
        <v>09/04/2024</v>
      </c>
      <c r="M198" s="104"/>
      <c r="N198" s="95" t="str">
        <f>IFERROR(__xludf.DUMMYFUNCTION("""COMPUTED_VALUE"""),"0")</f>
        <v>0</v>
      </c>
      <c r="O198" s="95"/>
      <c r="P198" s="95"/>
      <c r="Q198" s="95"/>
      <c r="R198" s="95"/>
      <c r="S198" s="95"/>
      <c r="T198" s="95"/>
      <c r="U198" s="95"/>
      <c r="V198" s="95"/>
      <c r="W198" s="95"/>
      <c r="X198" s="95"/>
      <c r="Y198" s="95"/>
      <c r="Z198" s="95"/>
      <c r="AA198" s="95"/>
      <c r="AB198" s="95"/>
      <c r="AC198" s="95"/>
    </row>
    <row r="199" ht="15.75" customHeight="1" spans="1:29">
      <c r="A199" s="95"/>
      <c r="B199" s="95" t="str">
        <f>VLOOKUP(C199,lista_id!$D$2:$F$152,3,0)</f>
        <v>REGIONAL 4</v>
      </c>
      <c r="C199" s="102" t="str">
        <f>IFERROR(__xludf.DUMMYFUNCTION("""COMPUTED_VALUE"""),"CENTRO MUNICIPAL DE EDUCAÇÃO INFANTIL MARCOS FREIRE")</f>
        <v>CENTRO MUNICIPAL DE EDUCAÇÃO INFANTIL MARCOS FREIRE</v>
      </c>
      <c r="D199" s="95" t="str">
        <f>IFERROR(__xludf.DUMMYFUNCTION("""COMPUTED_VALUE"""),"INFANTIL 1")</f>
        <v>INFANTIL 1</v>
      </c>
      <c r="E199" s="95" t="str">
        <f>IFERROR(__xludf.DUMMYFUNCTION("""COMPUTED_VALUE"""),"Integral")</f>
        <v>Integral</v>
      </c>
      <c r="F199" s="95" t="str">
        <f>IFERROR(__xludf.DUMMYFUNCTION("""COMPUTED_VALUE"""),"Comum")</f>
        <v>Comum</v>
      </c>
      <c r="G199" s="95" t="str">
        <f>IFERROR(__xludf.DUMMYFUNCTION("""COMPUTED_VALUE"""),"7")</f>
        <v>7</v>
      </c>
      <c r="H199" s="95" t="str">
        <f>IFERROR(__xludf.DUMMYFUNCTION("""COMPUTED_VALUE"""),"26032656769")</f>
        <v>26032656769</v>
      </c>
      <c r="I199" s="103" t="str">
        <f>IFERROR(__xludf.DUMMYFUNCTION("""COMPUTED_VALUE"""),"27/03/2026 14:19:05")</f>
        <v>27/03/2026 14:19:05</v>
      </c>
      <c r="J199" s="95" t="str">
        <f>IFERROR(__xludf.DUMMYFUNCTION("""COMPUTED_VALUE"""),"RAVILA LOUISE CUSTÓDIO ALVES DA SILVA")</f>
        <v>RAVILA LOUISE CUSTÓDIO ALVES DA SILVA</v>
      </c>
      <c r="K199" s="95" t="str">
        <f>IFERROR(__xludf.DUMMYFUNCTION("""COMPUTED_VALUE"""),"004.783.134-03")</f>
        <v>004.783.134-03</v>
      </c>
      <c r="L199" s="104" t="str">
        <f>IFERROR(__xludf.DUMMYFUNCTION("""COMPUTED_VALUE"""),"05/12/2024")</f>
        <v>05/12/2024</v>
      </c>
      <c r="M199" s="104"/>
      <c r="N199" s="95" t="str">
        <f>IFERROR(__xludf.DUMMYFUNCTION("""COMPUTED_VALUE"""),"0")</f>
        <v>0</v>
      </c>
      <c r="O199" s="95"/>
      <c r="P199" s="95"/>
      <c r="Q199" s="95"/>
      <c r="R199" s="95"/>
      <c r="S199" s="95"/>
      <c r="T199" s="95"/>
      <c r="U199" s="95"/>
      <c r="V199" s="95"/>
      <c r="W199" s="95"/>
      <c r="X199" s="95"/>
      <c r="Y199" s="95"/>
      <c r="Z199" s="95"/>
      <c r="AA199" s="95"/>
      <c r="AB199" s="95"/>
      <c r="AC199" s="95"/>
    </row>
    <row r="200" ht="15.75" customHeight="1" spans="1:29">
      <c r="A200" s="95"/>
      <c r="B200" s="95" t="str">
        <f>VLOOKUP(C200,lista_id!$D$2:$F$152,3,0)</f>
        <v>REGIONAL 4</v>
      </c>
      <c r="C200" s="102" t="str">
        <f>IFERROR(__xludf.DUMMYFUNCTION("""COMPUTED_VALUE"""),"CENTRO MUNICIPAL DE EDUCAÇÃO INFANTIL MARCOS FREIRE")</f>
        <v>CENTRO MUNICIPAL DE EDUCAÇÃO INFANTIL MARCOS FREIRE</v>
      </c>
      <c r="D200" s="95" t="str">
        <f>IFERROR(__xludf.DUMMYFUNCTION("""COMPUTED_VALUE"""),"INFANTIL 1")</f>
        <v>INFANTIL 1</v>
      </c>
      <c r="E200" s="95" t="str">
        <f>IFERROR(__xludf.DUMMYFUNCTION("""COMPUTED_VALUE"""),"Integral")</f>
        <v>Integral</v>
      </c>
      <c r="F200" s="95" t="str">
        <f>IFERROR(__xludf.DUMMYFUNCTION("""COMPUTED_VALUE"""),"Comum")</f>
        <v>Comum</v>
      </c>
      <c r="G200" s="95" t="str">
        <f>IFERROR(__xludf.DUMMYFUNCTION("""COMPUTED_VALUE"""),"8")</f>
        <v>8</v>
      </c>
      <c r="H200" s="95" t="str">
        <f>IFERROR(__xludf.DUMMYFUNCTION("""COMPUTED_VALUE"""),"26042102490")</f>
        <v>26042102490</v>
      </c>
      <c r="I200" s="103" t="str">
        <f>IFERROR(__xludf.DUMMYFUNCTION("""COMPUTED_VALUE"""),"08/04/2026 10:45:14")</f>
        <v>08/04/2026 10:45:14</v>
      </c>
      <c r="J200" s="95" t="str">
        <f>IFERROR(__xludf.DUMMYFUNCTION("""COMPUTED_VALUE"""),"THOMÁS SANTIAGO DE LIMA")</f>
        <v>THOMÁS SANTIAGO DE LIMA</v>
      </c>
      <c r="K200" s="95" t="str">
        <f>IFERROR(__xludf.DUMMYFUNCTION("""COMPUTED_VALUE"""),"004.437.094-67")</f>
        <v>004.437.094-67</v>
      </c>
      <c r="L200" s="104" t="str">
        <f>IFERROR(__xludf.DUMMYFUNCTION("""COMPUTED_VALUE"""),"28/10/2024")</f>
        <v>28/10/2024</v>
      </c>
      <c r="M200" s="104"/>
      <c r="N200" s="95" t="str">
        <f>IFERROR(__xludf.DUMMYFUNCTION("""COMPUTED_VALUE"""),"0")</f>
        <v>0</v>
      </c>
      <c r="O200" s="95"/>
      <c r="P200" s="95"/>
      <c r="Q200" s="95"/>
      <c r="R200" s="95"/>
      <c r="S200" s="95"/>
      <c r="T200" s="95"/>
      <c r="U200" s="95"/>
      <c r="V200" s="95"/>
      <c r="W200" s="95"/>
      <c r="X200" s="95"/>
      <c r="Y200" s="95"/>
      <c r="Z200" s="95"/>
      <c r="AA200" s="95"/>
      <c r="AB200" s="95"/>
      <c r="AC200" s="95"/>
    </row>
    <row r="201" ht="15.75" customHeight="1" spans="1:29">
      <c r="A201" s="95"/>
      <c r="B201" s="95" t="str">
        <f>VLOOKUP(C201,lista_id!$D$2:$F$152,3,0)</f>
        <v>REGIONAL 4</v>
      </c>
      <c r="C201" s="102" t="str">
        <f>IFERROR(__xludf.DUMMYFUNCTION("""COMPUTED_VALUE"""),"CENTRO MUNICIPAL DE EDUCAÇÃO INFANTIL MARCOS FREIRE")</f>
        <v>CENTRO MUNICIPAL DE EDUCAÇÃO INFANTIL MARCOS FREIRE</v>
      </c>
      <c r="D201" s="95" t="str">
        <f>IFERROR(__xludf.DUMMYFUNCTION("""COMPUTED_VALUE"""),"INFANTIL 1")</f>
        <v>INFANTIL 1</v>
      </c>
      <c r="E201" s="95" t="str">
        <f>IFERROR(__xludf.DUMMYFUNCTION("""COMPUTED_VALUE"""),"Integral")</f>
        <v>Integral</v>
      </c>
      <c r="F201" s="95" t="str">
        <f>IFERROR(__xludf.DUMMYFUNCTION("""COMPUTED_VALUE"""),"Comum")</f>
        <v>Comum</v>
      </c>
      <c r="G201" s="95" t="str">
        <f>IFERROR(__xludf.DUMMYFUNCTION("""COMPUTED_VALUE"""),"9")</f>
        <v>9</v>
      </c>
      <c r="H201" s="95" t="str">
        <f>IFERROR(__xludf.DUMMYFUNCTION("""COMPUTED_VALUE"""),"26042789546")</f>
        <v>26042789546</v>
      </c>
      <c r="I201" s="103" t="str">
        <f>IFERROR(__xludf.DUMMYFUNCTION("""COMPUTED_VALUE"""),"14/04/2026 09:51:21")</f>
        <v>14/04/2026 09:51:21</v>
      </c>
      <c r="J201" s="95" t="str">
        <f>IFERROR(__xludf.DUMMYFUNCTION("""COMPUTED_VALUE"""),"MAYAH GABRYELLY PATRIARCA DE LIMA")</f>
        <v>MAYAH GABRYELLY PATRIARCA DE LIMA</v>
      </c>
      <c r="K201" s="95" t="str">
        <f>IFERROR(__xludf.DUMMYFUNCTION("""COMPUTED_VALUE"""),"014.136.034-83")</f>
        <v>014.136.034-83</v>
      </c>
      <c r="L201" s="104" t="str">
        <f>IFERROR(__xludf.DUMMYFUNCTION("""COMPUTED_VALUE"""),"25/08/2025")</f>
        <v>25/08/2025</v>
      </c>
      <c r="M201" s="104"/>
      <c r="N201" s="95" t="str">
        <f>IFERROR(__xludf.DUMMYFUNCTION("""COMPUTED_VALUE"""),"0")</f>
        <v>0</v>
      </c>
      <c r="O201" s="95"/>
      <c r="P201" s="95"/>
      <c r="Q201" s="95"/>
      <c r="R201" s="95"/>
      <c r="S201" s="95"/>
      <c r="T201" s="95"/>
      <c r="U201" s="95"/>
      <c r="V201" s="95"/>
      <c r="W201" s="95"/>
      <c r="X201" s="95"/>
      <c r="Y201" s="95"/>
      <c r="Z201" s="95"/>
      <c r="AA201" s="95"/>
      <c r="AB201" s="95"/>
      <c r="AC201" s="95"/>
    </row>
    <row r="202" ht="15.75" customHeight="1" spans="1:29">
      <c r="A202" s="95"/>
      <c r="B202" s="95" t="str">
        <f>VLOOKUP(C202,lista_id!$D$2:$F$152,3,0)</f>
        <v>REGIONAL 4</v>
      </c>
      <c r="C202" s="102" t="str">
        <f>IFERROR(__xludf.DUMMYFUNCTION("""COMPUTED_VALUE"""),"CENTRO MUNICIPAL DE EDUCAÇÃO INFANTIL MARCOS FREIRE")</f>
        <v>CENTRO MUNICIPAL DE EDUCAÇÃO INFANTIL MARCOS FREIRE</v>
      </c>
      <c r="D202" s="95" t="str">
        <f>IFERROR(__xludf.DUMMYFUNCTION("""COMPUTED_VALUE"""),"INFANTIL 1")</f>
        <v>INFANTIL 1</v>
      </c>
      <c r="E202" s="95" t="str">
        <f>IFERROR(__xludf.DUMMYFUNCTION("""COMPUTED_VALUE"""),"Integral")</f>
        <v>Integral</v>
      </c>
      <c r="F202" s="95" t="str">
        <f>IFERROR(__xludf.DUMMYFUNCTION("""COMPUTED_VALUE"""),"Comum")</f>
        <v>Comum</v>
      </c>
      <c r="G202" s="95" t="str">
        <f>IFERROR(__xludf.DUMMYFUNCTION("""COMPUTED_VALUE"""),"10")</f>
        <v>10</v>
      </c>
      <c r="H202" s="95" t="str">
        <f>IFERROR(__xludf.DUMMYFUNCTION("""COMPUTED_VALUE"""),"26042234675")</f>
        <v>26042234675</v>
      </c>
      <c r="I202" s="103" t="str">
        <f>IFERROR(__xludf.DUMMYFUNCTION("""COMPUTED_VALUE"""),"15/04/2026 16:58:08")</f>
        <v>15/04/2026 16:58:08</v>
      </c>
      <c r="J202" s="95" t="str">
        <f>IFERROR(__xludf.DUMMYFUNCTION("""COMPUTED_VALUE"""),"EVANGELINE MENDES DA SILVA")</f>
        <v>EVANGELINE MENDES DA SILVA</v>
      </c>
      <c r="K202" s="95" t="str">
        <f>IFERROR(__xludf.DUMMYFUNCTION("""COMPUTED_VALUE"""),"050.824.554-00")</f>
        <v>050.824.554-00</v>
      </c>
      <c r="L202" s="106" t="str">
        <f>IFERROR(__xludf.DUMMYFUNCTION("""COMPUTED_VALUE"""),"12/02/2025")</f>
        <v>12/02/2025</v>
      </c>
      <c r="M202" s="104"/>
      <c r="N202" s="95" t="str">
        <f>IFERROR(__xludf.DUMMYFUNCTION("""COMPUTED_VALUE"""),"0")</f>
        <v>0</v>
      </c>
      <c r="O202" s="95"/>
      <c r="P202" s="95"/>
      <c r="Q202" s="95"/>
      <c r="R202" s="95"/>
      <c r="S202" s="95"/>
      <c r="T202" s="95"/>
      <c r="U202" s="95"/>
      <c r="V202" s="95"/>
      <c r="W202" s="95"/>
      <c r="X202" s="95"/>
      <c r="Y202" s="95"/>
      <c r="Z202" s="95"/>
      <c r="AA202" s="95"/>
      <c r="AB202" s="95"/>
      <c r="AC202" s="95"/>
    </row>
    <row r="203" ht="15.75" customHeight="1" spans="1:29">
      <c r="A203" s="95"/>
      <c r="B203" s="95" t="str">
        <f>VLOOKUP(C203,lista_id!$D$2:$F$152,3,0)</f>
        <v>REGIONAL 4</v>
      </c>
      <c r="C203" s="102" t="str">
        <f>IFERROR(__xludf.DUMMYFUNCTION("""COMPUTED_VALUE"""),"CENTRO MUNICIPAL DE EDUCAÇÃO INFANTIL MARCOS FREIRE")</f>
        <v>CENTRO MUNICIPAL DE EDUCAÇÃO INFANTIL MARCOS FREIRE</v>
      </c>
      <c r="D203" s="95" t="str">
        <f>IFERROR(__xludf.DUMMYFUNCTION("""COMPUTED_VALUE"""),"INFANTIL 1")</f>
        <v>INFANTIL 1</v>
      </c>
      <c r="E203" s="95" t="str">
        <f>IFERROR(__xludf.DUMMYFUNCTION("""COMPUTED_VALUE"""),"Integral")</f>
        <v>Integral</v>
      </c>
      <c r="F203" s="95" t="str">
        <f>IFERROR(__xludf.DUMMYFUNCTION("""COMPUTED_VALUE"""),"Comum")</f>
        <v>Comum</v>
      </c>
      <c r="G203" s="95" t="str">
        <f>IFERROR(__xludf.DUMMYFUNCTION("""COMPUTED_VALUE"""),"11")</f>
        <v>11</v>
      </c>
      <c r="H203" s="95" t="str">
        <f>IFERROR(__xludf.DUMMYFUNCTION("""COMPUTED_VALUE"""),"26052886541")</f>
        <v>26052886541</v>
      </c>
      <c r="I203" s="103" t="str">
        <f>IFERROR(__xludf.DUMMYFUNCTION("""COMPUTED_VALUE"""),"11/05/2026 14:39:32")</f>
        <v>11/05/2026 14:39:32</v>
      </c>
      <c r="J203" s="95" t="str">
        <f>IFERROR(__xludf.DUMMYFUNCTION("""COMPUTED_VALUE"""),"JADE HELENA PARAISO DE ASSIS")</f>
        <v>JADE HELENA PARAISO DE ASSIS</v>
      </c>
      <c r="K203" s="95" t="str">
        <f>IFERROR(__xludf.DUMMYFUNCTION("""COMPUTED_VALUE"""),"003.489.334-28")</f>
        <v>003.489.334-28</v>
      </c>
      <c r="L203" s="104" t="str">
        <f>IFERROR(__xludf.DUMMYFUNCTION("""COMPUTED_VALUE"""),"11/07/2024")</f>
        <v>11/07/2024</v>
      </c>
      <c r="M203" s="106"/>
      <c r="N203" s="95" t="str">
        <f>IFERROR(__xludf.DUMMYFUNCTION("""COMPUTED_VALUE"""),"0")</f>
        <v>0</v>
      </c>
      <c r="O203" s="95"/>
      <c r="P203" s="95"/>
      <c r="Q203" s="95"/>
      <c r="R203" s="95"/>
      <c r="S203" s="95"/>
      <c r="T203" s="95"/>
      <c r="U203" s="95"/>
      <c r="V203" s="95"/>
      <c r="W203" s="95"/>
      <c r="X203" s="95"/>
      <c r="Y203" s="95"/>
      <c r="Z203" s="95"/>
      <c r="AA203" s="95"/>
      <c r="AB203" s="95"/>
      <c r="AC203" s="95"/>
    </row>
    <row r="204" ht="15.75" customHeight="1" spans="1:29">
      <c r="A204" s="95"/>
      <c r="B204" s="95" t="str">
        <f>VLOOKUP(C204,lista_id!$D$2:$F$152,3,0)</f>
        <v>REGIONAL 4</v>
      </c>
      <c r="C204" s="102" t="str">
        <f>IFERROR(__xludf.DUMMYFUNCTION("""COMPUTED_VALUE"""),"CENTRO MUNICIPAL DE EDUCAÇÃO INFANTIL MARCOS FREIRE")</f>
        <v>CENTRO MUNICIPAL DE EDUCAÇÃO INFANTIL MARCOS FREIRE</v>
      </c>
      <c r="D204" s="95" t="str">
        <f>IFERROR(__xludf.DUMMYFUNCTION("""COMPUTED_VALUE"""),"INFANTIL 1")</f>
        <v>INFANTIL 1</v>
      </c>
      <c r="E204" s="95" t="str">
        <f>IFERROR(__xludf.DUMMYFUNCTION("""COMPUTED_VALUE"""),"Integral")</f>
        <v>Integral</v>
      </c>
      <c r="F204" s="95" t="str">
        <f>IFERROR(__xludf.DUMMYFUNCTION("""COMPUTED_VALUE"""),"Comum")</f>
        <v>Comum</v>
      </c>
      <c r="G204" s="95" t="str">
        <f>IFERROR(__xludf.DUMMYFUNCTION("""COMPUTED_VALUE"""),"12")</f>
        <v>12</v>
      </c>
      <c r="H204" s="95" t="str">
        <f>IFERROR(__xludf.DUMMYFUNCTION("""COMPUTED_VALUE"""),"26052806799")</f>
        <v>26052806799</v>
      </c>
      <c r="I204" s="103" t="str">
        <f>IFERROR(__xludf.DUMMYFUNCTION("""COMPUTED_VALUE"""),"26/05/2026 13:30:04")</f>
        <v>26/05/2026 13:30:04</v>
      </c>
      <c r="J204" s="95" t="str">
        <f>IFERROR(__xludf.DUMMYFUNCTION("""COMPUTED_VALUE"""),"MERLYA VITORIA DA SILVA FERNANDES")</f>
        <v>MERLYA VITORIA DA SILVA FERNANDES</v>
      </c>
      <c r="K204" s="95" t="str">
        <f>IFERROR(__xludf.DUMMYFUNCTION("""COMPUTED_VALUE"""),"006.677.104-85")</f>
        <v>006.677.104-85</v>
      </c>
      <c r="L204" s="104" t="str">
        <f>IFERROR(__xludf.DUMMYFUNCTION("""COMPUTED_VALUE"""),"14/05/2025")</f>
        <v>14/05/2025</v>
      </c>
      <c r="M204" s="106"/>
      <c r="N204" s="95" t="str">
        <f>IFERROR(__xludf.DUMMYFUNCTION("""COMPUTED_VALUE"""),"0")</f>
        <v>0</v>
      </c>
      <c r="O204" s="95"/>
      <c r="P204" s="95"/>
      <c r="Q204" s="95"/>
      <c r="R204" s="95"/>
      <c r="S204" s="95"/>
      <c r="T204" s="95"/>
      <c r="U204" s="95"/>
      <c r="V204" s="95"/>
      <c r="W204" s="95"/>
      <c r="X204" s="95"/>
      <c r="Y204" s="95"/>
      <c r="Z204" s="95"/>
      <c r="AA204" s="95"/>
      <c r="AB204" s="95"/>
      <c r="AC204" s="95"/>
    </row>
    <row r="205" ht="15.75" customHeight="1" spans="1:29">
      <c r="A205" s="95"/>
      <c r="B205" s="95" t="str">
        <f>VLOOKUP(C205,lista_id!$D$2:$F$152,3,0)</f>
        <v>REGIONAL 4</v>
      </c>
      <c r="C205" s="102" t="str">
        <f>IFERROR(__xludf.DUMMYFUNCTION("""COMPUTED_VALUE"""),"CENTRO MUNICIPAL DE EDUCAÇÃO INFANTIL MARCOS FREIRE")</f>
        <v>CENTRO MUNICIPAL DE EDUCAÇÃO INFANTIL MARCOS FREIRE</v>
      </c>
      <c r="D205" s="95" t="str">
        <f>IFERROR(__xludf.DUMMYFUNCTION("""COMPUTED_VALUE"""),"INFANTIL 2")</f>
        <v>INFANTIL 2</v>
      </c>
      <c r="E205" s="95" t="str">
        <f>IFERROR(__xludf.DUMMYFUNCTION("""COMPUTED_VALUE"""),"Integral")</f>
        <v>Integral</v>
      </c>
      <c r="F205" s="95" t="str">
        <f>IFERROR(__xludf.DUMMYFUNCTION("""COMPUTED_VALUE"""),"Comum")</f>
        <v>Comum</v>
      </c>
      <c r="G205" s="95" t="str">
        <f>IFERROR(__xludf.DUMMYFUNCTION("""COMPUTED_VALUE"""),"1")</f>
        <v>1</v>
      </c>
      <c r="H205" s="95" t="str">
        <f>IFERROR(__xludf.DUMMYFUNCTION("""COMPUTED_VALUE"""),"26032887986")</f>
        <v>26032887986</v>
      </c>
      <c r="I205" s="103" t="str">
        <f>IFERROR(__xludf.DUMMYFUNCTION("""COMPUTED_VALUE"""),"03/03/2026 12:34:10")</f>
        <v>03/03/2026 12:34:10</v>
      </c>
      <c r="J205" s="95" t="str">
        <f>IFERROR(__xludf.DUMMYFUNCTION("""COMPUTED_VALUE"""),"GAEL ALEXANDRE SOARES DE LUNA")</f>
        <v>GAEL ALEXANDRE SOARES DE LUNA</v>
      </c>
      <c r="K205" s="95" t="str">
        <f>IFERROR(__xludf.DUMMYFUNCTION("""COMPUTED_VALUE"""),"001.591.704-51")</f>
        <v>001.591.704-51</v>
      </c>
      <c r="L205" s="104" t="str">
        <f>IFERROR(__xludf.DUMMYFUNCTION("""COMPUTED_VALUE"""),"16/01/2024")</f>
        <v>16/01/2024</v>
      </c>
      <c r="M205" s="104"/>
      <c r="N205" s="95" t="str">
        <f>IFERROR(__xludf.DUMMYFUNCTION("""COMPUTED_VALUE"""),"0")</f>
        <v>0</v>
      </c>
      <c r="O205" s="95"/>
      <c r="P205" s="95"/>
      <c r="Q205" s="95"/>
      <c r="R205" s="95"/>
      <c r="S205" s="95"/>
      <c r="T205" s="95"/>
      <c r="U205" s="95"/>
      <c r="V205" s="95"/>
      <c r="W205" s="95"/>
      <c r="X205" s="95"/>
      <c r="Y205" s="95"/>
      <c r="Z205" s="95"/>
      <c r="AA205" s="95"/>
      <c r="AB205" s="95"/>
      <c r="AC205" s="95"/>
    </row>
    <row r="206" ht="15.75" customHeight="1" spans="1:29">
      <c r="A206" s="95"/>
      <c r="B206" s="95" t="str">
        <f>VLOOKUP(C206,lista_id!$D$2:$F$152,3,0)</f>
        <v>REGIONAL 4</v>
      </c>
      <c r="C206" s="102" t="str">
        <f>IFERROR(__xludf.DUMMYFUNCTION("""COMPUTED_VALUE"""),"CENTRO MUNICIPAL DE EDUCAÇÃO INFANTIL MARCOS FREIRE")</f>
        <v>CENTRO MUNICIPAL DE EDUCAÇÃO INFANTIL MARCOS FREIRE</v>
      </c>
      <c r="D206" s="95" t="str">
        <f>IFERROR(__xludf.DUMMYFUNCTION("""COMPUTED_VALUE"""),"INFANTIL 2")</f>
        <v>INFANTIL 2</v>
      </c>
      <c r="E206" s="95" t="str">
        <f>IFERROR(__xludf.DUMMYFUNCTION("""COMPUTED_VALUE"""),"Integral")</f>
        <v>Integral</v>
      </c>
      <c r="F206" s="95" t="str">
        <f>IFERROR(__xludf.DUMMYFUNCTION("""COMPUTED_VALUE"""),"Comum")</f>
        <v>Comum</v>
      </c>
      <c r="G206" s="95" t="str">
        <f>IFERROR(__xludf.DUMMYFUNCTION("""COMPUTED_VALUE"""),"2")</f>
        <v>2</v>
      </c>
      <c r="H206" s="95" t="str">
        <f>IFERROR(__xludf.DUMMYFUNCTION("""COMPUTED_VALUE"""),"26032326701")</f>
        <v>26032326701</v>
      </c>
      <c r="I206" s="103" t="str">
        <f>IFERROR(__xludf.DUMMYFUNCTION("""COMPUTED_VALUE"""),"04/03/2026 14:46:15")</f>
        <v>04/03/2026 14:46:15</v>
      </c>
      <c r="J206" s="95" t="str">
        <f>IFERROR(__xludf.DUMMYFUNCTION("""COMPUTED_VALUE"""),"JOÃO MIGUEL DE LIMA CAVALCANTI")</f>
        <v>JOÃO MIGUEL DE LIMA CAVALCANTI</v>
      </c>
      <c r="K206" s="95" t="str">
        <f>IFERROR(__xludf.DUMMYFUNCTION("""COMPUTED_VALUE"""),"234.344.727-62")</f>
        <v>234.344.727-62</v>
      </c>
      <c r="L206" s="104" t="str">
        <f>IFERROR(__xludf.DUMMYFUNCTION("""COMPUTED_VALUE"""),"22/07/2023")</f>
        <v>22/07/2023</v>
      </c>
      <c r="M206" s="104"/>
      <c r="N206" s="95" t="str">
        <f>IFERROR(__xludf.DUMMYFUNCTION("""COMPUTED_VALUE"""),"0")</f>
        <v>0</v>
      </c>
      <c r="O206" s="95"/>
      <c r="P206" s="95"/>
      <c r="Q206" s="95"/>
      <c r="R206" s="95"/>
      <c r="S206" s="95"/>
      <c r="T206" s="95"/>
      <c r="U206" s="95"/>
      <c r="V206" s="95"/>
      <c r="W206" s="95"/>
      <c r="X206" s="95"/>
      <c r="Y206" s="95"/>
      <c r="Z206" s="95"/>
      <c r="AA206" s="95"/>
      <c r="AB206" s="95"/>
      <c r="AC206" s="95"/>
    </row>
    <row r="207" ht="15.75" customHeight="1" spans="1:29">
      <c r="A207" s="95"/>
      <c r="B207" s="95" t="str">
        <f>VLOOKUP(C207,lista_id!$D$2:$F$152,3,0)</f>
        <v>REGIONAL 4</v>
      </c>
      <c r="C207" s="102" t="str">
        <f>IFERROR(__xludf.DUMMYFUNCTION("""COMPUTED_VALUE"""),"CENTRO MUNICIPAL DE EDUCAÇÃO INFANTIL MARCOS FREIRE")</f>
        <v>CENTRO MUNICIPAL DE EDUCAÇÃO INFANTIL MARCOS FREIRE</v>
      </c>
      <c r="D207" s="95" t="str">
        <f>IFERROR(__xludf.DUMMYFUNCTION("""COMPUTED_VALUE"""),"INFANTIL 2")</f>
        <v>INFANTIL 2</v>
      </c>
      <c r="E207" s="95" t="str">
        <f>IFERROR(__xludf.DUMMYFUNCTION("""COMPUTED_VALUE"""),"Integral")</f>
        <v>Integral</v>
      </c>
      <c r="F207" s="95" t="str">
        <f>IFERROR(__xludf.DUMMYFUNCTION("""COMPUTED_VALUE"""),"Comum")</f>
        <v>Comum</v>
      </c>
      <c r="G207" s="95" t="str">
        <f>IFERROR(__xludf.DUMMYFUNCTION("""COMPUTED_VALUE"""),"3")</f>
        <v>3</v>
      </c>
      <c r="H207" s="95" t="str">
        <f>IFERROR(__xludf.DUMMYFUNCTION("""COMPUTED_VALUE"""),"26032157099")</f>
        <v>26032157099</v>
      </c>
      <c r="I207" s="103" t="str">
        <f>IFERROR(__xludf.DUMMYFUNCTION("""COMPUTED_VALUE"""),"20/03/2026 08:02:42")</f>
        <v>20/03/2026 08:02:42</v>
      </c>
      <c r="J207" s="95" t="str">
        <f>IFERROR(__xludf.DUMMYFUNCTION("""COMPUTED_VALUE"""),"DAVI PIETRO DA SILVA BARBOSA")</f>
        <v>DAVI PIETRO DA SILVA BARBOSA</v>
      </c>
      <c r="K207" s="95" t="str">
        <f>IFERROR(__xludf.DUMMYFUNCTION("""COMPUTED_VALUE"""),"001.594.054-32")</f>
        <v>001.594.054-32</v>
      </c>
      <c r="L207" s="104" t="str">
        <f>IFERROR(__xludf.DUMMYFUNCTION("""COMPUTED_VALUE"""),"17/01/2024")</f>
        <v>17/01/2024</v>
      </c>
      <c r="M207" s="104"/>
      <c r="N207" s="95" t="str">
        <f>IFERROR(__xludf.DUMMYFUNCTION("""COMPUTED_VALUE"""),"0")</f>
        <v>0</v>
      </c>
      <c r="O207" s="95"/>
      <c r="P207" s="95"/>
      <c r="Q207" s="95"/>
      <c r="R207" s="95"/>
      <c r="S207" s="95"/>
      <c r="T207" s="95"/>
      <c r="U207" s="95"/>
      <c r="V207" s="95"/>
      <c r="W207" s="95"/>
      <c r="X207" s="95"/>
      <c r="Y207" s="95"/>
      <c r="Z207" s="95"/>
      <c r="AA207" s="95"/>
      <c r="AB207" s="95"/>
      <c r="AC207" s="95"/>
    </row>
    <row r="208" ht="15.75" customHeight="1" spans="1:29">
      <c r="A208" s="95"/>
      <c r="B208" s="95" t="str">
        <f>VLOOKUP(C208,lista_id!$D$2:$F$152,3,0)</f>
        <v>REGIONAL 4</v>
      </c>
      <c r="C208" s="102" t="str">
        <f>IFERROR(__xludf.DUMMYFUNCTION("""COMPUTED_VALUE"""),"CENTRO MUNICIPAL DE EDUCAÇÃO INFANTIL MARCOS FREIRE")</f>
        <v>CENTRO MUNICIPAL DE EDUCAÇÃO INFANTIL MARCOS FREIRE</v>
      </c>
      <c r="D208" s="95" t="str">
        <f>IFERROR(__xludf.DUMMYFUNCTION("""COMPUTED_VALUE"""),"INFANTIL 2")</f>
        <v>INFANTIL 2</v>
      </c>
      <c r="E208" s="95" t="str">
        <f>IFERROR(__xludf.DUMMYFUNCTION("""COMPUTED_VALUE"""),"Integral")</f>
        <v>Integral</v>
      </c>
      <c r="F208" s="95" t="str">
        <f>IFERROR(__xludf.DUMMYFUNCTION("""COMPUTED_VALUE"""),"Comum")</f>
        <v>Comum</v>
      </c>
      <c r="G208" s="95" t="str">
        <f>IFERROR(__xludf.DUMMYFUNCTION("""COMPUTED_VALUE"""),"4")</f>
        <v>4</v>
      </c>
      <c r="H208" s="95" t="str">
        <f>IFERROR(__xludf.DUMMYFUNCTION("""COMPUTED_VALUE"""),"26032593218")</f>
        <v>26032593218</v>
      </c>
      <c r="I208" s="103" t="str">
        <f>IFERROR(__xludf.DUMMYFUNCTION("""COMPUTED_VALUE"""),"20/03/2026 23:02:44")</f>
        <v>20/03/2026 23:02:44</v>
      </c>
      <c r="J208" s="95" t="str">
        <f>IFERROR(__xludf.DUMMYFUNCTION("""COMPUTED_VALUE"""),"LEVI BRYAN DE OLIVEIRA REIS")</f>
        <v>LEVI BRYAN DE OLIVEIRA REIS</v>
      </c>
      <c r="K208" s="95" t="str">
        <f>IFERROR(__xludf.DUMMYFUNCTION("""COMPUTED_VALUE"""),"002.077.824-40")</f>
        <v>002.077.824-40</v>
      </c>
      <c r="L208" s="104" t="str">
        <f>IFERROR(__xludf.DUMMYFUNCTION("""COMPUTED_VALUE"""),"22/02/2024")</f>
        <v>22/02/2024</v>
      </c>
      <c r="M208" s="104"/>
      <c r="N208" s="95" t="str">
        <f>IFERROR(__xludf.DUMMYFUNCTION("""COMPUTED_VALUE"""),"0")</f>
        <v>0</v>
      </c>
      <c r="O208" s="95"/>
      <c r="P208" s="95"/>
      <c r="Q208" s="95"/>
      <c r="R208" s="95"/>
      <c r="S208" s="95"/>
      <c r="T208" s="95"/>
      <c r="U208" s="95"/>
      <c r="V208" s="95"/>
      <c r="W208" s="95"/>
      <c r="X208" s="95"/>
      <c r="Y208" s="95"/>
      <c r="Z208" s="95"/>
      <c r="AA208" s="95"/>
      <c r="AB208" s="95"/>
      <c r="AC208" s="95"/>
    </row>
    <row r="209" ht="15.75" customHeight="1" spans="1:29">
      <c r="A209" s="95"/>
      <c r="B209" s="95" t="str">
        <f>VLOOKUP(C209,lista_id!$D$2:$F$152,3,0)</f>
        <v>REGIONAL 4</v>
      </c>
      <c r="C209" s="102" t="str">
        <f>IFERROR(__xludf.DUMMYFUNCTION("""COMPUTED_VALUE"""),"CENTRO MUNICIPAL DE EDUCAÇÃO INFANTIL MARCOS FREIRE")</f>
        <v>CENTRO MUNICIPAL DE EDUCAÇÃO INFANTIL MARCOS FREIRE</v>
      </c>
      <c r="D209" s="95" t="str">
        <f>IFERROR(__xludf.DUMMYFUNCTION("""COMPUTED_VALUE"""),"INFANTIL 2")</f>
        <v>INFANTIL 2</v>
      </c>
      <c r="E209" s="95" t="str">
        <f>IFERROR(__xludf.DUMMYFUNCTION("""COMPUTED_VALUE"""),"Integral")</f>
        <v>Integral</v>
      </c>
      <c r="F209" s="95" t="str">
        <f>IFERROR(__xludf.DUMMYFUNCTION("""COMPUTED_VALUE"""),"Comum")</f>
        <v>Comum</v>
      </c>
      <c r="G209" s="95" t="str">
        <f>IFERROR(__xludf.DUMMYFUNCTION("""COMPUTED_VALUE"""),"5")</f>
        <v>5</v>
      </c>
      <c r="H209" s="95" t="str">
        <f>IFERROR(__xludf.DUMMYFUNCTION("""COMPUTED_VALUE"""),"26042036184")</f>
        <v>26042036184</v>
      </c>
      <c r="I209" s="103" t="str">
        <f>IFERROR(__xludf.DUMMYFUNCTION("""COMPUTED_VALUE"""),"08/04/2026 13:49:21")</f>
        <v>08/04/2026 13:49:21</v>
      </c>
      <c r="J209" s="95" t="str">
        <f>IFERROR(__xludf.DUMMYFUNCTION("""COMPUTED_VALUE"""),"JORGE MIGUEL DA SILVA NASCIMENTO")</f>
        <v>JORGE MIGUEL DA SILVA NASCIMENTO</v>
      </c>
      <c r="K209" s="95" t="str">
        <f>IFERROR(__xludf.DUMMYFUNCTION("""COMPUTED_VALUE"""),"186.203.064-21")</f>
        <v>186.203.064-21</v>
      </c>
      <c r="L209" s="104" t="str">
        <f>IFERROR(__xludf.DUMMYFUNCTION("""COMPUTED_VALUE"""),"23/07/2023")</f>
        <v>23/07/2023</v>
      </c>
      <c r="M209" s="104"/>
      <c r="N209" s="95" t="str">
        <f>IFERROR(__xludf.DUMMYFUNCTION("""COMPUTED_VALUE"""),"0")</f>
        <v>0</v>
      </c>
      <c r="O209" s="95"/>
      <c r="P209" s="95"/>
      <c r="Q209" s="95"/>
      <c r="R209" s="95"/>
      <c r="S209" s="95"/>
      <c r="T209" s="95"/>
      <c r="U209" s="95"/>
      <c r="V209" s="95"/>
      <c r="W209" s="95"/>
      <c r="X209" s="95"/>
      <c r="Y209" s="95"/>
      <c r="Z209" s="95"/>
      <c r="AA209" s="95"/>
      <c r="AB209" s="95"/>
      <c r="AC209" s="95"/>
    </row>
    <row r="210" ht="15.75" customHeight="1" spans="1:29">
      <c r="A210" s="95"/>
      <c r="B210" s="95" t="str">
        <f>VLOOKUP(C210,lista_id!$D$2:$F$152,3,0)</f>
        <v>REGIONAL 4</v>
      </c>
      <c r="C210" s="102" t="str">
        <f>IFERROR(__xludf.DUMMYFUNCTION("""COMPUTED_VALUE"""),"CENTRO MUNICIPAL DE EDUCAÇÃO INFANTIL MARCOS FREIRE")</f>
        <v>CENTRO MUNICIPAL DE EDUCAÇÃO INFANTIL MARCOS FREIRE</v>
      </c>
      <c r="D210" s="95" t="str">
        <f>IFERROR(__xludf.DUMMYFUNCTION("""COMPUTED_VALUE"""),"INFANTIL 3")</f>
        <v>INFANTIL 3</v>
      </c>
      <c r="E210" s="95" t="str">
        <f>IFERROR(__xludf.DUMMYFUNCTION("""COMPUTED_VALUE"""),"Integral")</f>
        <v>Integral</v>
      </c>
      <c r="F210" s="95" t="str">
        <f>IFERROR(__xludf.DUMMYFUNCTION("""COMPUTED_VALUE"""),"Comum")</f>
        <v>Comum</v>
      </c>
      <c r="G210" s="95" t="str">
        <f>IFERROR(__xludf.DUMMYFUNCTION("""COMPUTED_VALUE"""),"1")</f>
        <v>1</v>
      </c>
      <c r="H210" s="95" t="str">
        <f>IFERROR(__xludf.DUMMYFUNCTION("""COMPUTED_VALUE"""),"26032855253")</f>
        <v>26032855253</v>
      </c>
      <c r="I210" s="103" t="str">
        <f>IFERROR(__xludf.DUMMYFUNCTION("""COMPUTED_VALUE"""),"17/03/2026 12:24:13")</f>
        <v>17/03/2026 12:24:13</v>
      </c>
      <c r="J210" s="95" t="str">
        <f>IFERROR(__xludf.DUMMYFUNCTION("""COMPUTED_VALUE"""),"HELOISA VITÓRIA DA SILVA NASCIMENTO")</f>
        <v>HELOISA VITÓRIA DA SILVA NASCIMENTO</v>
      </c>
      <c r="K210" s="95" t="str">
        <f>IFERROR(__xludf.DUMMYFUNCTION("""COMPUTED_VALUE"""),"185.357.664-64")</f>
        <v>185.357.664-64</v>
      </c>
      <c r="L210" s="104" t="str">
        <f>IFERROR(__xludf.DUMMYFUNCTION("""COMPUTED_VALUE"""),"30/03/2023")</f>
        <v>30/03/2023</v>
      </c>
      <c r="M210" s="104"/>
      <c r="N210" s="95" t="str">
        <f>IFERROR(__xludf.DUMMYFUNCTION("""COMPUTED_VALUE"""),"0")</f>
        <v>0</v>
      </c>
      <c r="O210" s="95"/>
      <c r="P210" s="95"/>
      <c r="Q210" s="95"/>
      <c r="R210" s="95"/>
      <c r="S210" s="95"/>
      <c r="T210" s="95"/>
      <c r="U210" s="95"/>
      <c r="V210" s="95"/>
      <c r="W210" s="95"/>
      <c r="X210" s="95"/>
      <c r="Y210" s="95"/>
      <c r="Z210" s="95"/>
      <c r="AA210" s="95"/>
      <c r="AB210" s="95"/>
      <c r="AC210" s="95"/>
    </row>
    <row r="211" ht="15.75" customHeight="1" spans="1:29">
      <c r="A211" s="95"/>
      <c r="B211" s="95" t="str">
        <f>VLOOKUP(C211,lista_id!$D$2:$F$152,3,0)</f>
        <v>REGIONAL 4</v>
      </c>
      <c r="C211" s="102" t="str">
        <f>IFERROR(__xludf.DUMMYFUNCTION("""COMPUTED_VALUE"""),"CENTRO MUNICIPAL DE EDUCAÇÃO INFANTIL MARCOS FREIRE")</f>
        <v>CENTRO MUNICIPAL DE EDUCAÇÃO INFANTIL MARCOS FREIRE</v>
      </c>
      <c r="D211" s="95" t="str">
        <f>IFERROR(__xludf.DUMMYFUNCTION("""COMPUTED_VALUE"""),"INFANTIL 3")</f>
        <v>INFANTIL 3</v>
      </c>
      <c r="E211" s="95" t="str">
        <f>IFERROR(__xludf.DUMMYFUNCTION("""COMPUTED_VALUE"""),"Integral")</f>
        <v>Integral</v>
      </c>
      <c r="F211" s="95" t="str">
        <f>IFERROR(__xludf.DUMMYFUNCTION("""COMPUTED_VALUE"""),"Comum")</f>
        <v>Comum</v>
      </c>
      <c r="G211" s="95" t="str">
        <f>IFERROR(__xludf.DUMMYFUNCTION("""COMPUTED_VALUE"""),"2")</f>
        <v>2</v>
      </c>
      <c r="H211" s="95" t="str">
        <f>IFERROR(__xludf.DUMMYFUNCTION("""COMPUTED_VALUE"""),"26032786613")</f>
        <v>26032786613</v>
      </c>
      <c r="I211" s="103" t="str">
        <f>IFERROR(__xludf.DUMMYFUNCTION("""COMPUTED_VALUE"""),"19/03/2026 09:22:32")</f>
        <v>19/03/2026 09:22:32</v>
      </c>
      <c r="J211" s="95" t="str">
        <f>IFERROR(__xludf.DUMMYFUNCTION("""COMPUTED_VALUE"""),"THÉO LACERDA ALVES")</f>
        <v>THÉO LACERDA ALVES</v>
      </c>
      <c r="K211" s="95" t="str">
        <f>IFERROR(__xludf.DUMMYFUNCTION("""COMPUTED_VALUE"""),"605.546.128-52")</f>
        <v>605.546.128-52</v>
      </c>
      <c r="L211" s="104" t="str">
        <f>IFERROR(__xludf.DUMMYFUNCTION("""COMPUTED_VALUE"""),"28/09/2022")</f>
        <v>28/09/2022</v>
      </c>
      <c r="M211" s="104"/>
      <c r="N211" s="95" t="str">
        <f>IFERROR(__xludf.DUMMYFUNCTION("""COMPUTED_VALUE"""),"0")</f>
        <v>0</v>
      </c>
      <c r="O211" s="95"/>
      <c r="P211" s="95"/>
      <c r="Q211" s="95"/>
      <c r="R211" s="95"/>
      <c r="S211" s="95"/>
      <c r="T211" s="95"/>
      <c r="U211" s="95"/>
      <c r="V211" s="95"/>
      <c r="W211" s="95"/>
      <c r="X211" s="95"/>
      <c r="Y211" s="95"/>
      <c r="Z211" s="95"/>
      <c r="AA211" s="95"/>
      <c r="AB211" s="95"/>
      <c r="AC211" s="95"/>
    </row>
    <row r="212" ht="15.75" customHeight="1" spans="1:29">
      <c r="A212" s="95"/>
      <c r="B212" s="95" t="str">
        <f>VLOOKUP(C212,lista_id!$D$2:$F$152,3,0)</f>
        <v>REGIONAL 4</v>
      </c>
      <c r="C212" s="102" t="str">
        <f>IFERROR(__xludf.DUMMYFUNCTION("""COMPUTED_VALUE"""),"CENTRO MUNICIPAL DE EDUCAÇÃO INFANTIL MARCOS FREIRE")</f>
        <v>CENTRO MUNICIPAL DE EDUCAÇÃO INFANTIL MARCOS FREIRE</v>
      </c>
      <c r="D212" s="95" t="str">
        <f>IFERROR(__xludf.DUMMYFUNCTION("""COMPUTED_VALUE"""),"INFANTIL 3")</f>
        <v>INFANTIL 3</v>
      </c>
      <c r="E212" s="95" t="str">
        <f>IFERROR(__xludf.DUMMYFUNCTION("""COMPUTED_VALUE"""),"Integral")</f>
        <v>Integral</v>
      </c>
      <c r="F212" s="95" t="str">
        <f>IFERROR(__xludf.DUMMYFUNCTION("""COMPUTED_VALUE"""),"Comum")</f>
        <v>Comum</v>
      </c>
      <c r="G212" s="95" t="str">
        <f>IFERROR(__xludf.DUMMYFUNCTION("""COMPUTED_VALUE"""),"3")</f>
        <v>3</v>
      </c>
      <c r="H212" s="95" t="str">
        <f>IFERROR(__xludf.DUMMYFUNCTION("""COMPUTED_VALUE"""),"26042136154")</f>
        <v>26042136154</v>
      </c>
      <c r="I212" s="103" t="str">
        <f>IFERROR(__xludf.DUMMYFUNCTION("""COMPUTED_VALUE"""),"06/04/2026 11:03:43")</f>
        <v>06/04/2026 11:03:43</v>
      </c>
      <c r="J212" s="95" t="str">
        <f>IFERROR(__xludf.DUMMYFUNCTION("""COMPUTED_VALUE"""),"SOPHIA CATARINA BARBOSA DOS SANTOS")</f>
        <v>SOPHIA CATARINA BARBOSA DOS SANTOS</v>
      </c>
      <c r="K212" s="95" t="str">
        <f>IFERROR(__xludf.DUMMYFUNCTION("""COMPUTED_VALUE"""),"181.986.654-80")</f>
        <v>181.986.654-80</v>
      </c>
      <c r="L212" s="104" t="str">
        <f>IFERROR(__xludf.DUMMYFUNCTION("""COMPUTED_VALUE"""),"13/06/2022")</f>
        <v>13/06/2022</v>
      </c>
      <c r="M212" s="104"/>
      <c r="N212" s="95" t="str">
        <f>IFERROR(__xludf.DUMMYFUNCTION("""COMPUTED_VALUE"""),"0")</f>
        <v>0</v>
      </c>
      <c r="O212" s="95"/>
      <c r="P212" s="95"/>
      <c r="Q212" s="95"/>
      <c r="R212" s="95"/>
      <c r="S212" s="95"/>
      <c r="T212" s="95"/>
      <c r="U212" s="95"/>
      <c r="V212" s="95"/>
      <c r="W212" s="95"/>
      <c r="X212" s="95"/>
      <c r="Y212" s="95"/>
      <c r="Z212" s="95"/>
      <c r="AA212" s="95"/>
      <c r="AB212" s="95"/>
      <c r="AC212" s="95"/>
    </row>
    <row r="213" ht="15.75" customHeight="1" spans="1:29">
      <c r="A213" s="95"/>
      <c r="B213" s="95" t="str">
        <f>VLOOKUP(C213,lista_id!$D$2:$F$152,3,0)</f>
        <v>REGIONAL 4</v>
      </c>
      <c r="C213" s="102" t="str">
        <f>IFERROR(__xludf.DUMMYFUNCTION("""COMPUTED_VALUE"""),"CENTRO MUNICIPAL DE EDUCAÇÃO INFANTIL MARCOS FREIRE")</f>
        <v>CENTRO MUNICIPAL DE EDUCAÇÃO INFANTIL MARCOS FREIRE</v>
      </c>
      <c r="D213" s="95" t="str">
        <f>IFERROR(__xludf.DUMMYFUNCTION("""COMPUTED_VALUE"""),"INFANTIL 4")</f>
        <v>INFANTIL 4</v>
      </c>
      <c r="E213" s="95" t="str">
        <f>IFERROR(__xludf.DUMMYFUNCTION("""COMPUTED_VALUE"""),"Matutino/Manhã")</f>
        <v>Matutino/Manhã</v>
      </c>
      <c r="F213" s="95" t="str">
        <f>IFERROR(__xludf.DUMMYFUNCTION("""COMPUTED_VALUE"""),"Comum")</f>
        <v>Comum</v>
      </c>
      <c r="G213" s="95" t="str">
        <f>IFERROR(__xludf.DUMMYFUNCTION("""COMPUTED_VALUE"""),"1")</f>
        <v>1</v>
      </c>
      <c r="H213" s="95" t="str">
        <f>IFERROR(__xludf.DUMMYFUNCTION("""COMPUTED_VALUE"""),"26032052532")</f>
        <v>26032052532</v>
      </c>
      <c r="I213" s="103" t="str">
        <f>IFERROR(__xludf.DUMMYFUNCTION("""COMPUTED_VALUE"""),"25/03/2026 11:36:43")</f>
        <v>25/03/2026 11:36:43</v>
      </c>
      <c r="J213" s="95" t="str">
        <f>IFERROR(__xludf.DUMMYFUNCTION("""COMPUTED_VALUE"""),"DANIEL FERREIRA DE MOURA")</f>
        <v>DANIEL FERREIRA DE MOURA</v>
      </c>
      <c r="K213" s="95" t="str">
        <f>IFERROR(__xludf.DUMMYFUNCTION("""COMPUTED_VALUE"""),"181.283.674-04")</f>
        <v>181.283.674-04</v>
      </c>
      <c r="L213" s="104" t="str">
        <f>IFERROR(__xludf.DUMMYFUNCTION("""COMPUTED_VALUE"""),"25/03/2022")</f>
        <v>25/03/2022</v>
      </c>
      <c r="M213" s="104"/>
      <c r="N213" s="95" t="str">
        <f>IFERROR(__xludf.DUMMYFUNCTION("""COMPUTED_VALUE"""),"0")</f>
        <v>0</v>
      </c>
      <c r="O213" s="95"/>
      <c r="P213" s="95"/>
      <c r="Q213" s="95"/>
      <c r="R213" s="95"/>
      <c r="S213" s="95"/>
      <c r="T213" s="95"/>
      <c r="U213" s="95"/>
      <c r="V213" s="95"/>
      <c r="W213" s="95"/>
      <c r="X213" s="95"/>
      <c r="Y213" s="95"/>
      <c r="Z213" s="95"/>
      <c r="AA213" s="95"/>
      <c r="AB213" s="95"/>
      <c r="AC213" s="95"/>
    </row>
    <row r="214" ht="15.75" customHeight="1" spans="1:29">
      <c r="A214" s="95"/>
      <c r="B214" s="95" t="str">
        <f>VLOOKUP(C214,lista_id!$D$2:$F$152,3,0)</f>
        <v>REGIONAL 4</v>
      </c>
      <c r="C214" s="102" t="str">
        <f>IFERROR(__xludf.DUMMYFUNCTION("""COMPUTED_VALUE"""),"CENTRO MUNICIPAL DE EDUCAÇÃO INFANTIL MARCOS FREIRE")</f>
        <v>CENTRO MUNICIPAL DE EDUCAÇÃO INFANTIL MARCOS FREIRE</v>
      </c>
      <c r="D214" s="95" t="str">
        <f>IFERROR(__xludf.DUMMYFUNCTION("""COMPUTED_VALUE"""),"INFANTIL 4")</f>
        <v>INFANTIL 4</v>
      </c>
      <c r="E214" s="95" t="str">
        <f>IFERROR(__xludf.DUMMYFUNCTION("""COMPUTED_VALUE"""),"Matutino/Manhã")</f>
        <v>Matutino/Manhã</v>
      </c>
      <c r="F214" s="95" t="str">
        <f>IFERROR(__xludf.DUMMYFUNCTION("""COMPUTED_VALUE"""),"Comum")</f>
        <v>Comum</v>
      </c>
      <c r="G214" s="95" t="str">
        <f>IFERROR(__xludf.DUMMYFUNCTION("""COMPUTED_VALUE"""),"2")</f>
        <v>2</v>
      </c>
      <c r="H214" s="95" t="str">
        <f>IFERROR(__xludf.DUMMYFUNCTION("""COMPUTED_VALUE"""),"26052184589")</f>
        <v>26052184589</v>
      </c>
      <c r="I214" s="103" t="str">
        <f>IFERROR(__xludf.DUMMYFUNCTION("""COMPUTED_VALUE"""),"26/05/2026 15:44:48")</f>
        <v>26/05/2026 15:44:48</v>
      </c>
      <c r="J214" s="95" t="str">
        <f>IFERROR(__xludf.DUMMYFUNCTION("""COMPUTED_VALUE"""),"BRYAN LEVI FEITOSA ROCHA")</f>
        <v>BRYAN LEVI FEITOSA ROCHA</v>
      </c>
      <c r="K214" s="95" t="str">
        <f>IFERROR(__xludf.DUMMYFUNCTION("""COMPUTED_VALUE"""),"181.828.334-42")</f>
        <v>181.828.334-42</v>
      </c>
      <c r="L214" s="104" t="str">
        <f>IFERROR(__xludf.DUMMYFUNCTION("""COMPUTED_VALUE"""),"30/03/2022")</f>
        <v>30/03/2022</v>
      </c>
      <c r="M214" s="104"/>
      <c r="N214" s="95" t="str">
        <f>IFERROR(__xludf.DUMMYFUNCTION("""COMPUTED_VALUE"""),"0")</f>
        <v>0</v>
      </c>
      <c r="O214" s="95"/>
      <c r="P214" s="95"/>
      <c r="Q214" s="95"/>
      <c r="R214" s="95"/>
      <c r="S214" s="95"/>
      <c r="T214" s="95"/>
      <c r="U214" s="95"/>
      <c r="V214" s="95"/>
      <c r="W214" s="95"/>
      <c r="X214" s="95"/>
      <c r="Y214" s="95"/>
      <c r="Z214" s="95"/>
      <c r="AA214" s="95"/>
      <c r="AB214" s="95"/>
      <c r="AC214" s="95"/>
    </row>
    <row r="215" ht="15.75" customHeight="1" spans="1:29">
      <c r="A215" s="95"/>
      <c r="B215" s="95" t="str">
        <f>VLOOKUP(C215,lista_id!$D$2:$F$152,3,0)</f>
        <v>REGIONAL 4</v>
      </c>
      <c r="C215" s="102" t="str">
        <f>IFERROR(__xludf.DUMMYFUNCTION("""COMPUTED_VALUE"""),"CENTRO MUNICIPAL DE EDUCAÇÃO INFANTIL MARCOS FREIRE")</f>
        <v>CENTRO MUNICIPAL DE EDUCAÇÃO INFANTIL MARCOS FREIRE</v>
      </c>
      <c r="D215" s="95" t="str">
        <f>IFERROR(__xludf.DUMMYFUNCTION("""COMPUTED_VALUE"""),"INFANTIL 4")</f>
        <v>INFANTIL 4</v>
      </c>
      <c r="E215" s="95" t="str">
        <f>IFERROR(__xludf.DUMMYFUNCTION("""COMPUTED_VALUE"""),"Vespertino/Tarde")</f>
        <v>Vespertino/Tarde</v>
      </c>
      <c r="F215" s="95" t="str">
        <f>IFERROR(__xludf.DUMMYFUNCTION("""COMPUTED_VALUE"""),"Comum")</f>
        <v>Comum</v>
      </c>
      <c r="G215" s="95" t="str">
        <f>IFERROR(__xludf.DUMMYFUNCTION("""COMPUTED_VALUE"""),"1")</f>
        <v>1</v>
      </c>
      <c r="H215" s="95" t="str">
        <f>IFERROR(__xludf.DUMMYFUNCTION("""COMPUTED_VALUE"""),"26042564916")</f>
        <v>26042564916</v>
      </c>
      <c r="I215" s="103" t="str">
        <f>IFERROR(__xludf.DUMMYFUNCTION("""COMPUTED_VALUE"""),"22/04/2026 14:55:06")</f>
        <v>22/04/2026 14:55:06</v>
      </c>
      <c r="J215" s="95" t="str">
        <f>IFERROR(__xludf.DUMMYFUNCTION("""COMPUTED_VALUE"""),"MARIA ELOAH DA PAIXÃO SILVA")</f>
        <v>MARIA ELOAH DA PAIXÃO SILVA</v>
      </c>
      <c r="K215" s="95" t="str">
        <f>IFERROR(__xludf.DUMMYFUNCTION("""COMPUTED_VALUE"""),"180.884.274-01")</f>
        <v>180.884.274-01</v>
      </c>
      <c r="L215" s="104" t="str">
        <f>IFERROR(__xludf.DUMMYFUNCTION("""COMPUTED_VALUE"""),"28/12/2021")</f>
        <v>28/12/2021</v>
      </c>
      <c r="M215" s="104"/>
      <c r="N215" s="95" t="str">
        <f>IFERROR(__xludf.DUMMYFUNCTION("""COMPUTED_VALUE"""),"0")</f>
        <v>0</v>
      </c>
      <c r="O215" s="95"/>
      <c r="P215" s="95"/>
      <c r="Q215" s="95"/>
      <c r="R215" s="95"/>
      <c r="S215" s="95"/>
      <c r="T215" s="95"/>
      <c r="U215" s="95"/>
      <c r="V215" s="95"/>
      <c r="W215" s="95"/>
      <c r="X215" s="95"/>
      <c r="Y215" s="95"/>
      <c r="Z215" s="95"/>
      <c r="AA215" s="95"/>
      <c r="AB215" s="95"/>
      <c r="AC215" s="95"/>
    </row>
    <row r="216" ht="15.75" customHeight="1" spans="1:29">
      <c r="A216" s="95"/>
      <c r="B216" s="95" t="str">
        <f>VLOOKUP(C216,lista_id!$D$2:$F$152,3,0)</f>
        <v>REGIONAL 4</v>
      </c>
      <c r="C216" s="102" t="str">
        <f>IFERROR(__xludf.DUMMYFUNCTION("""COMPUTED_VALUE"""),"CENTRO MUNICIPAL DE EDUCAÇÃO INFANTIL MARCOS FREIRE")</f>
        <v>CENTRO MUNICIPAL DE EDUCAÇÃO INFANTIL MARCOS FREIRE</v>
      </c>
      <c r="D216" s="95" t="str">
        <f>IFERROR(__xludf.DUMMYFUNCTION("""COMPUTED_VALUE"""),"INFANTIL 4")</f>
        <v>INFANTIL 4</v>
      </c>
      <c r="E216" s="95" t="str">
        <f>IFERROR(__xludf.DUMMYFUNCTION("""COMPUTED_VALUE"""),"Vespertino/Tarde")</f>
        <v>Vespertino/Tarde</v>
      </c>
      <c r="F216" s="95" t="str">
        <f>IFERROR(__xludf.DUMMYFUNCTION("""COMPUTED_VALUE"""),"Comum")</f>
        <v>Comum</v>
      </c>
      <c r="G216" s="95" t="str">
        <f>IFERROR(__xludf.DUMMYFUNCTION("""COMPUTED_VALUE"""),"2")</f>
        <v>2</v>
      </c>
      <c r="H216" s="95" t="str">
        <f>IFERROR(__xludf.DUMMYFUNCTION("""COMPUTED_VALUE"""),"26042889902")</f>
        <v>26042889902</v>
      </c>
      <c r="I216" s="103" t="str">
        <f>IFERROR(__xludf.DUMMYFUNCTION("""COMPUTED_VALUE"""),"30/04/2026 10:58:54")</f>
        <v>30/04/2026 10:58:54</v>
      </c>
      <c r="J216" s="95" t="str">
        <f>IFERROR(__xludf.DUMMYFUNCTION("""COMPUTED_VALUE"""),"ELLENA VITÓRIA ARAÚJO DOS SANTOS")</f>
        <v>ELLENA VITÓRIA ARAÚJO DOS SANTOS</v>
      </c>
      <c r="K216" s="95" t="str">
        <f>IFERROR(__xludf.DUMMYFUNCTION("""COMPUTED_VALUE"""),"180.500.794-73")</f>
        <v>180.500.794-73</v>
      </c>
      <c r="L216" s="104" t="str">
        <f>IFERROR(__xludf.DUMMYFUNCTION("""COMPUTED_VALUE"""),"18/01/2022")</f>
        <v>18/01/2022</v>
      </c>
      <c r="M216" s="104"/>
      <c r="N216" s="95" t="str">
        <f>IFERROR(__xludf.DUMMYFUNCTION("""COMPUTED_VALUE"""),"0")</f>
        <v>0</v>
      </c>
      <c r="O216" s="95"/>
      <c r="P216" s="95"/>
      <c r="Q216" s="95"/>
      <c r="R216" s="95"/>
      <c r="S216" s="95"/>
      <c r="T216" s="95"/>
      <c r="U216" s="95"/>
      <c r="V216" s="95"/>
      <c r="W216" s="95"/>
      <c r="X216" s="95"/>
      <c r="Y216" s="95"/>
      <c r="Z216" s="95"/>
      <c r="AA216" s="95"/>
      <c r="AB216" s="95"/>
      <c r="AC216" s="95"/>
    </row>
    <row r="217" ht="15.75" customHeight="1" spans="1:29">
      <c r="A217" s="95"/>
      <c r="B217" s="95" t="str">
        <f>VLOOKUP(C217,lista_id!$D$2:$F$152,3,0)</f>
        <v>REGIONAL 4</v>
      </c>
      <c r="C217" s="102" t="str">
        <f>IFERROR(__xludf.DUMMYFUNCTION("""COMPUTED_VALUE"""),"CENTRO MUNICIPAL DE EDUCAÇÃO INFANTIL MARCOS FREIRE")</f>
        <v>CENTRO MUNICIPAL DE EDUCAÇÃO INFANTIL MARCOS FREIRE</v>
      </c>
      <c r="D217" s="95" t="str">
        <f>IFERROR(__xludf.DUMMYFUNCTION("""COMPUTED_VALUE"""),"INFANTIL 4")</f>
        <v>INFANTIL 4</v>
      </c>
      <c r="E217" s="95" t="str">
        <f>IFERROR(__xludf.DUMMYFUNCTION("""COMPUTED_VALUE"""),"Vespertino/Tarde")</f>
        <v>Vespertino/Tarde</v>
      </c>
      <c r="F217" s="95" t="str">
        <f>IFERROR(__xludf.DUMMYFUNCTION("""COMPUTED_VALUE"""),"Comum")</f>
        <v>Comum</v>
      </c>
      <c r="G217" s="95" t="str">
        <f>IFERROR(__xludf.DUMMYFUNCTION("""COMPUTED_VALUE"""),"3")</f>
        <v>3</v>
      </c>
      <c r="H217" s="95" t="str">
        <f>IFERROR(__xludf.DUMMYFUNCTION("""COMPUTED_VALUE"""),"26052026820")</f>
        <v>26052026820</v>
      </c>
      <c r="I217" s="103" t="str">
        <f>IFERROR(__xludf.DUMMYFUNCTION("""COMPUTED_VALUE"""),"14/05/2026 11:23:24")</f>
        <v>14/05/2026 11:23:24</v>
      </c>
      <c r="J217" s="95" t="str">
        <f>IFERROR(__xludf.DUMMYFUNCTION("""COMPUTED_VALUE"""),"MATHIAS RIQUELME BARBOSA VIDAL SOARES DA SILVA")</f>
        <v>MATHIAS RIQUELME BARBOSA VIDAL SOARES DA SILVA</v>
      </c>
      <c r="K217" s="95" t="str">
        <f>IFERROR(__xludf.DUMMYFUNCTION("""COMPUTED_VALUE"""),"180.988.804-27")</f>
        <v>180.988.804-27</v>
      </c>
      <c r="L217" s="104" t="str">
        <f>IFERROR(__xludf.DUMMYFUNCTION("""COMPUTED_VALUE"""),"25/03/2022")</f>
        <v>25/03/2022</v>
      </c>
      <c r="M217" s="104"/>
      <c r="N217" s="95" t="str">
        <f>IFERROR(__xludf.DUMMYFUNCTION("""COMPUTED_VALUE"""),"0")</f>
        <v>0</v>
      </c>
      <c r="O217" s="95"/>
      <c r="P217" s="95"/>
      <c r="Q217" s="95"/>
      <c r="R217" s="95"/>
      <c r="S217" s="95"/>
      <c r="T217" s="95"/>
      <c r="U217" s="95"/>
      <c r="V217" s="95"/>
      <c r="W217" s="95"/>
      <c r="X217" s="95"/>
      <c r="Y217" s="95"/>
      <c r="Z217" s="95"/>
      <c r="AA217" s="95"/>
      <c r="AB217" s="95"/>
      <c r="AC217" s="95"/>
    </row>
    <row r="218" ht="15.75" customHeight="1" spans="1:29">
      <c r="A218" s="95"/>
      <c r="B218" s="95" t="str">
        <f>VLOOKUP(C218,lista_id!$D$2:$F$152,3,0)</f>
        <v>REGIONAL 4</v>
      </c>
      <c r="C218" s="102" t="str">
        <f>IFERROR(__xludf.DUMMYFUNCTION("""COMPUTED_VALUE"""),"CENTRO MUNICIPAL DE EDUCAÇÃO INFANTIL MARCOS FREIRE")</f>
        <v>CENTRO MUNICIPAL DE EDUCAÇÃO INFANTIL MARCOS FREIRE</v>
      </c>
      <c r="D218" s="95" t="str">
        <f>IFERROR(__xludf.DUMMYFUNCTION("""COMPUTED_VALUE"""),"INFANTIL 5")</f>
        <v>INFANTIL 5</v>
      </c>
      <c r="E218" s="95" t="str">
        <f>IFERROR(__xludf.DUMMYFUNCTION("""COMPUTED_VALUE"""),"Matutino/Manhã")</f>
        <v>Matutino/Manhã</v>
      </c>
      <c r="F218" s="95" t="str">
        <f>IFERROR(__xludf.DUMMYFUNCTION("""COMPUTED_VALUE"""),"Comum")</f>
        <v>Comum</v>
      </c>
      <c r="G218" s="95" t="str">
        <f>IFERROR(__xludf.DUMMYFUNCTION("""COMPUTED_VALUE"""),"1")</f>
        <v>1</v>
      </c>
      <c r="H218" s="95" t="str">
        <f>IFERROR(__xludf.DUMMYFUNCTION("""COMPUTED_VALUE"""),"26052475358")</f>
        <v>26052475358</v>
      </c>
      <c r="I218" s="103" t="str">
        <f>IFERROR(__xludf.DUMMYFUNCTION("""COMPUTED_VALUE"""),"07/05/2026 16:29:49")</f>
        <v>07/05/2026 16:29:49</v>
      </c>
      <c r="J218" s="95" t="str">
        <f>IFERROR(__xludf.DUMMYFUNCTION("""COMPUTED_VALUE"""),"ELIZA IZADORA DA SILVA SOARES")</f>
        <v>ELIZA IZADORA DA SILVA SOARES</v>
      </c>
      <c r="K218" s="95" t="str">
        <f>IFERROR(__xludf.DUMMYFUNCTION("""COMPUTED_VALUE"""),"186.639.896-28")</f>
        <v>186.639.896-28</v>
      </c>
      <c r="L218" s="104" t="str">
        <f>IFERROR(__xludf.DUMMYFUNCTION("""COMPUTED_VALUE"""),"04/01/2021")</f>
        <v>04/01/2021</v>
      </c>
      <c r="M218" s="104"/>
      <c r="N218" s="95" t="str">
        <f>IFERROR(__xludf.DUMMYFUNCTION("""COMPUTED_VALUE"""),"0")</f>
        <v>0</v>
      </c>
      <c r="O218" s="95"/>
      <c r="P218" s="95"/>
      <c r="Q218" s="95"/>
      <c r="R218" s="95"/>
      <c r="S218" s="95"/>
      <c r="T218" s="95"/>
      <c r="U218" s="95"/>
      <c r="V218" s="95"/>
      <c r="W218" s="95"/>
      <c r="X218" s="95"/>
      <c r="Y218" s="95"/>
      <c r="Z218" s="95"/>
      <c r="AA218" s="95"/>
      <c r="AB218" s="95"/>
      <c r="AC218" s="95"/>
    </row>
    <row r="219" ht="15.75" customHeight="1" spans="1:29">
      <c r="A219" s="95"/>
      <c r="B219" s="95" t="str">
        <f>VLOOKUP(C219,lista_id!$D$2:$F$152,3,0)</f>
        <v>REGIONAL 4</v>
      </c>
      <c r="C219" s="102" t="str">
        <f>IFERROR(__xludf.DUMMYFUNCTION("""COMPUTED_VALUE"""),"CENTRO MUNICIPAL DE EDUCAÇÃO INFANTIL MARCOS FREIRE")</f>
        <v>CENTRO MUNICIPAL DE EDUCAÇÃO INFANTIL MARCOS FREIRE</v>
      </c>
      <c r="D219" s="95" t="str">
        <f>IFERROR(__xludf.DUMMYFUNCTION("""COMPUTED_VALUE"""),"INFANTIL 5")</f>
        <v>INFANTIL 5</v>
      </c>
      <c r="E219" s="95" t="str">
        <f>IFERROR(__xludf.DUMMYFUNCTION("""COMPUTED_VALUE"""),"Vespertino/Tarde")</f>
        <v>Vespertino/Tarde</v>
      </c>
      <c r="F219" s="95" t="str">
        <f>IFERROR(__xludf.DUMMYFUNCTION("""COMPUTED_VALUE"""),"Comum")</f>
        <v>Comum</v>
      </c>
      <c r="G219" s="95" t="str">
        <f>IFERROR(__xludf.DUMMYFUNCTION("""COMPUTED_VALUE"""),"1")</f>
        <v>1</v>
      </c>
      <c r="H219" s="95" t="str">
        <f>IFERROR(__xludf.DUMMYFUNCTION("""COMPUTED_VALUE"""),"26032121073")</f>
        <v>26032121073</v>
      </c>
      <c r="I219" s="103" t="str">
        <f>IFERROR(__xludf.DUMMYFUNCTION("""COMPUTED_VALUE"""),"23/03/2026 08:54:29")</f>
        <v>23/03/2026 08:54:29</v>
      </c>
      <c r="J219" s="95" t="str">
        <f>IFERROR(__xludf.DUMMYFUNCTION("""COMPUTED_VALUE"""),"BRAYAN GABRIEL DA SILVA FALCÃO")</f>
        <v>BRAYAN GABRIEL DA SILVA FALCÃO</v>
      </c>
      <c r="K219" s="95" t="str">
        <f>IFERROR(__xludf.DUMMYFUNCTION("""COMPUTED_VALUE"""),"179.040.614-57")</f>
        <v>179.040.614-57</v>
      </c>
      <c r="L219" s="104" t="str">
        <f>IFERROR(__xludf.DUMMYFUNCTION("""COMPUTED_VALUE"""),"17/10/2020")</f>
        <v>17/10/2020</v>
      </c>
      <c r="M219" s="104"/>
      <c r="N219" s="95" t="str">
        <f>IFERROR(__xludf.DUMMYFUNCTION("""COMPUTED_VALUE"""),"0")</f>
        <v>0</v>
      </c>
      <c r="O219" s="95"/>
      <c r="P219" s="95"/>
      <c r="Q219" s="95"/>
      <c r="R219" s="95"/>
      <c r="S219" s="95"/>
      <c r="T219" s="95"/>
      <c r="U219" s="95"/>
      <c r="V219" s="95"/>
      <c r="W219" s="95"/>
      <c r="X219" s="95"/>
      <c r="Y219" s="95"/>
      <c r="Z219" s="95"/>
      <c r="AA219" s="95"/>
      <c r="AB219" s="95"/>
      <c r="AC219" s="95"/>
    </row>
    <row r="220" ht="15.75" customHeight="1" spans="1:29">
      <c r="A220" s="95"/>
      <c r="B220" s="95" t="str">
        <f>VLOOKUP(C220,lista_id!$D$2:$F$152,3,0)</f>
        <v>REGIONAL 4</v>
      </c>
      <c r="C220" s="102" t="str">
        <f>IFERROR(__xludf.DUMMYFUNCTION("""COMPUTED_VALUE"""),"CENTRO MUNICIPAL DE EDUCAÇÃO INFANTIL MARCOS FREIRE")</f>
        <v>CENTRO MUNICIPAL DE EDUCAÇÃO INFANTIL MARCOS FREIRE</v>
      </c>
      <c r="D220" s="95" t="str">
        <f>IFERROR(__xludf.DUMMYFUNCTION("""COMPUTED_VALUE"""),"INFANTIL 5")</f>
        <v>INFANTIL 5</v>
      </c>
      <c r="E220" s="95" t="str">
        <f>IFERROR(__xludf.DUMMYFUNCTION("""COMPUTED_VALUE"""),"Vespertino/Tarde")</f>
        <v>Vespertino/Tarde</v>
      </c>
      <c r="F220" s="95" t="str">
        <f>IFERROR(__xludf.DUMMYFUNCTION("""COMPUTED_VALUE"""),"Comum")</f>
        <v>Comum</v>
      </c>
      <c r="G220" s="95" t="str">
        <f>IFERROR(__xludf.DUMMYFUNCTION("""COMPUTED_VALUE"""),"2")</f>
        <v>2</v>
      </c>
      <c r="H220" s="95" t="str">
        <f>IFERROR(__xludf.DUMMYFUNCTION("""COMPUTED_VALUE"""),"26052140691")</f>
        <v>26052140691</v>
      </c>
      <c r="I220" s="103" t="str">
        <f>IFERROR(__xludf.DUMMYFUNCTION("""COMPUTED_VALUE"""),"18/05/2026 10:51:50")</f>
        <v>18/05/2026 10:51:50</v>
      </c>
      <c r="J220" s="95" t="str">
        <f>IFERROR(__xludf.DUMMYFUNCTION("""COMPUTED_VALUE"""),"ALLYSON MIGUEL DA SILVA RAMOS")</f>
        <v>ALLYSON MIGUEL DA SILVA RAMOS</v>
      </c>
      <c r="K220" s="95" t="str">
        <f>IFERROR(__xludf.DUMMYFUNCTION("""COMPUTED_VALUE"""),"175.737.404-33")</f>
        <v>175.737.404-33</v>
      </c>
      <c r="L220" s="104" t="str">
        <f>IFERROR(__xludf.DUMMYFUNCTION("""COMPUTED_VALUE"""),"25/12/2020")</f>
        <v>25/12/2020</v>
      </c>
      <c r="M220" s="104"/>
      <c r="N220" s="95" t="str">
        <f>IFERROR(__xludf.DUMMYFUNCTION("""COMPUTED_VALUE"""),"0")</f>
        <v>0</v>
      </c>
      <c r="O220" s="95"/>
      <c r="P220" s="95"/>
      <c r="Q220" s="95"/>
      <c r="R220" s="95"/>
      <c r="S220" s="95"/>
      <c r="T220" s="95"/>
      <c r="U220" s="95"/>
      <c r="V220" s="95"/>
      <c r="W220" s="95"/>
      <c r="X220" s="95"/>
      <c r="Y220" s="95"/>
      <c r="Z220" s="95"/>
      <c r="AA220" s="95"/>
      <c r="AB220" s="95"/>
      <c r="AC220" s="95"/>
    </row>
    <row r="221" ht="15.75" customHeight="1" spans="1:29">
      <c r="A221" s="95"/>
      <c r="B221" s="95" t="str">
        <f>VLOOKUP(C221,lista_id!$D$2:$F$152,3,0)</f>
        <v>REGIONAL 4</v>
      </c>
      <c r="C221" s="102" t="str">
        <f>IFERROR(__xludf.DUMMYFUNCTION("""COMPUTED_VALUE"""),"CENTRO MUNICIPAL DE EDUCAÇÃO INFANTIL MARCOS FREIRE")</f>
        <v>CENTRO MUNICIPAL DE EDUCAÇÃO INFANTIL MARCOS FREIRE</v>
      </c>
      <c r="D221" s="95" t="str">
        <f>IFERROR(__xludf.DUMMYFUNCTION("""COMPUTED_VALUE"""),"INFANTIL 5")</f>
        <v>INFANTIL 5</v>
      </c>
      <c r="E221" s="95" t="str">
        <f>IFERROR(__xludf.DUMMYFUNCTION("""COMPUTED_VALUE"""),"Vespertino/Tarde")</f>
        <v>Vespertino/Tarde</v>
      </c>
      <c r="F221" s="95" t="str">
        <f>IFERROR(__xludf.DUMMYFUNCTION("""COMPUTED_VALUE"""),"Comum")</f>
        <v>Comum</v>
      </c>
      <c r="G221" s="95" t="str">
        <f>IFERROR(__xludf.DUMMYFUNCTION("""COMPUTED_VALUE"""),"3")</f>
        <v>3</v>
      </c>
      <c r="H221" s="95" t="str">
        <f>IFERROR(__xludf.DUMMYFUNCTION("""COMPUTED_VALUE"""),"26052880133")</f>
        <v>26052880133</v>
      </c>
      <c r="I221" s="103" t="str">
        <f>IFERROR(__xludf.DUMMYFUNCTION("""COMPUTED_VALUE"""),"26/05/2026 15:36:10")</f>
        <v>26/05/2026 15:36:10</v>
      </c>
      <c r="J221" s="95" t="str">
        <f>IFERROR(__xludf.DUMMYFUNCTION("""COMPUTED_VALUE"""),"thalyson fernando feitosa da rocha")</f>
        <v>thalyson fernando feitosa da rocha</v>
      </c>
      <c r="K221" s="95" t="str">
        <f>IFERROR(__xludf.DUMMYFUNCTION("""COMPUTED_VALUE"""),"174.580.004-22")</f>
        <v>174.580.004-22</v>
      </c>
      <c r="L221" s="104" t="str">
        <f>IFERROR(__xludf.DUMMYFUNCTION("""COMPUTED_VALUE"""),"01/12/2020")</f>
        <v>01/12/2020</v>
      </c>
      <c r="M221" s="104"/>
      <c r="N221" s="95" t="str">
        <f>IFERROR(__xludf.DUMMYFUNCTION("""COMPUTED_VALUE"""),"0")</f>
        <v>0</v>
      </c>
      <c r="O221" s="95"/>
      <c r="P221" s="95"/>
      <c r="Q221" s="95"/>
      <c r="R221" s="95"/>
      <c r="S221" s="95"/>
      <c r="T221" s="95"/>
      <c r="U221" s="95"/>
      <c r="V221" s="95"/>
      <c r="W221" s="95"/>
      <c r="X221" s="95"/>
      <c r="Y221" s="95"/>
      <c r="Z221" s="95"/>
      <c r="AA221" s="95"/>
      <c r="AB221" s="95"/>
      <c r="AC221" s="95"/>
    </row>
    <row r="222" ht="15.75" customHeight="1" spans="1:29">
      <c r="A222" s="95"/>
      <c r="B222" s="95" t="str">
        <f>VLOOKUP(C222,lista_id!$D$2:$F$152,3,0)</f>
        <v>REGIONAL 6</v>
      </c>
      <c r="C222" s="102" t="str">
        <f>IFERROR(__xludf.DUMMYFUNCTION("""COMPUTED_VALUE"""),"CENTRO MUNICIPAL PROFESSORA SIMONE PATRICIA FERREIRA DA SILVA")</f>
        <v>CENTRO MUNICIPAL PROFESSORA SIMONE PATRICIA FERREIRA DA SILVA</v>
      </c>
      <c r="D222" s="95" t="str">
        <f>IFERROR(__xludf.DUMMYFUNCTION("""COMPUTED_VALUE"""),"INFANTIL 5")</f>
        <v>INFANTIL 5</v>
      </c>
      <c r="E222" s="95" t="str">
        <f>IFERROR(__xludf.DUMMYFUNCTION("""COMPUTED_VALUE"""),"Vespertino/Tarde")</f>
        <v>Vespertino/Tarde</v>
      </c>
      <c r="F222" s="95" t="str">
        <f>IFERROR(__xludf.DUMMYFUNCTION("""COMPUTED_VALUE"""),"Comum")</f>
        <v>Comum</v>
      </c>
      <c r="G222" s="95" t="str">
        <f>IFERROR(__xludf.DUMMYFUNCTION("""COMPUTED_VALUE"""),"1")</f>
        <v>1</v>
      </c>
      <c r="H222" s="95" t="str">
        <f>IFERROR(__xludf.DUMMYFUNCTION("""COMPUTED_VALUE"""),"26042773509")</f>
        <v>26042773509</v>
      </c>
      <c r="I222" s="103" t="str">
        <f>IFERROR(__xludf.DUMMYFUNCTION("""COMPUTED_VALUE"""),"25/04/2026 19:19:54")</f>
        <v>25/04/2026 19:19:54</v>
      </c>
      <c r="J222" s="95" t="str">
        <f>IFERROR(__xludf.DUMMYFUNCTION("""COMPUTED_VALUE"""),"LUA AINOÃ SANTOS DAS CHAGAS")</f>
        <v>LUA AINOÃ SANTOS DAS CHAGAS</v>
      </c>
      <c r="K222" s="95" t="str">
        <f>IFERROR(__xludf.DUMMYFUNCTION("""COMPUTED_VALUE"""),"172.004.454-60")</f>
        <v>172.004.454-60</v>
      </c>
      <c r="L222" s="104" t="str">
        <f>IFERROR(__xludf.DUMMYFUNCTION("""COMPUTED_VALUE"""),"15/04/2020")</f>
        <v>15/04/2020</v>
      </c>
      <c r="M222" s="104"/>
      <c r="N222" s="95" t="str">
        <f>IFERROR(__xludf.DUMMYFUNCTION("""COMPUTED_VALUE"""),"0")</f>
        <v>0</v>
      </c>
      <c r="O222" s="95"/>
      <c r="P222" s="95"/>
      <c r="Q222" s="95"/>
      <c r="R222" s="95"/>
      <c r="S222" s="95"/>
      <c r="T222" s="95"/>
      <c r="U222" s="95"/>
      <c r="V222" s="95"/>
      <c r="W222" s="95"/>
      <c r="X222" s="95"/>
      <c r="Y222" s="95"/>
      <c r="Z222" s="95"/>
      <c r="AA222" s="95"/>
      <c r="AB222" s="95"/>
      <c r="AC222" s="95"/>
    </row>
    <row r="223" ht="15.75" customHeight="1" spans="1:29">
      <c r="A223" s="95"/>
      <c r="B223" s="95" t="str">
        <f>VLOOKUP(C223,lista_id!$D$2:$F$152,3,0)</f>
        <v>REGIONAL 2</v>
      </c>
      <c r="C223" s="102" t="str">
        <f>IFERROR(__xludf.DUMMYFUNCTION("""COMPUTED_VALUE"""),"CRECHE ALAYDE MARIA DA CONCEICAO")</f>
        <v>CRECHE ALAYDE MARIA DA CONCEICAO</v>
      </c>
      <c r="D223" s="95" t="str">
        <f>IFERROR(__xludf.DUMMYFUNCTION("""COMPUTED_VALUE"""),"INFANTIL 1")</f>
        <v>INFANTIL 1</v>
      </c>
      <c r="E223" s="95" t="str">
        <f>IFERROR(__xludf.DUMMYFUNCTION("""COMPUTED_VALUE"""),"Integral")</f>
        <v>Integral</v>
      </c>
      <c r="F223" s="95" t="str">
        <f>IFERROR(__xludf.DUMMYFUNCTION("""COMPUTED_VALUE"""),"Comum")</f>
        <v>Comum</v>
      </c>
      <c r="G223" s="95" t="str">
        <f>IFERROR(__xludf.DUMMYFUNCTION("""COMPUTED_VALUE"""),"1")</f>
        <v>1</v>
      </c>
      <c r="H223" s="95" t="str">
        <f>IFERROR(__xludf.DUMMYFUNCTION("""COMPUTED_VALUE"""),"26022612593")</f>
        <v>26022612593</v>
      </c>
      <c r="I223" s="103" t="str">
        <f>IFERROR(__xludf.DUMMYFUNCTION("""COMPUTED_VALUE"""),"25/02/2026 12:49:56")</f>
        <v>25/02/2026 12:49:56</v>
      </c>
      <c r="J223" s="95" t="str">
        <f>IFERROR(__xludf.DUMMYFUNCTION("""COMPUTED_VALUE"""),"CR")</f>
        <v>CR</v>
      </c>
      <c r="K223" s="95" t="str">
        <f>IFERROR(__xludf.DUMMYFUNCTION("""COMPUTED_VALUE"""),"006.659.714-51")</f>
        <v>006.659.714-51</v>
      </c>
      <c r="L223" s="104" t="str">
        <f>IFERROR(__xludf.DUMMYFUNCTION("""COMPUTED_VALUE"""),"03/07/2025")</f>
        <v>03/07/2025</v>
      </c>
      <c r="M223" s="104"/>
      <c r="N223" s="95" t="str">
        <f>IFERROR(__xludf.DUMMYFUNCTION("""COMPUTED_VALUE"""),"0")</f>
        <v>0</v>
      </c>
      <c r="O223" s="95"/>
      <c r="P223" s="95"/>
      <c r="Q223" s="95"/>
      <c r="R223" s="95"/>
      <c r="S223" s="95"/>
      <c r="T223" s="95"/>
      <c r="U223" s="95"/>
      <c r="V223" s="95"/>
      <c r="W223" s="95"/>
      <c r="X223" s="95"/>
      <c r="Y223" s="95"/>
      <c r="Z223" s="95"/>
      <c r="AA223" s="95"/>
      <c r="AB223" s="95"/>
      <c r="AC223" s="95"/>
    </row>
    <row r="224" ht="15.75" customHeight="1" spans="1:29">
      <c r="A224" s="95"/>
      <c r="B224" s="95" t="str">
        <f>VLOOKUP(C224,lista_id!$D$2:$F$152,3,0)</f>
        <v>REGIONAL 2</v>
      </c>
      <c r="C224" s="102" t="str">
        <f>IFERROR(__xludf.DUMMYFUNCTION("""COMPUTED_VALUE"""),"CRECHE ALAYDE MARIA DA CONCEICAO")</f>
        <v>CRECHE ALAYDE MARIA DA CONCEICAO</v>
      </c>
      <c r="D224" s="95" t="str">
        <f>IFERROR(__xludf.DUMMYFUNCTION("""COMPUTED_VALUE"""),"INFANTIL 1")</f>
        <v>INFANTIL 1</v>
      </c>
      <c r="E224" s="95" t="str">
        <f>IFERROR(__xludf.DUMMYFUNCTION("""COMPUTED_VALUE"""),"Integral")</f>
        <v>Integral</v>
      </c>
      <c r="F224" s="95" t="str">
        <f>IFERROR(__xludf.DUMMYFUNCTION("""COMPUTED_VALUE"""),"Comum")</f>
        <v>Comum</v>
      </c>
      <c r="G224" s="95" t="str">
        <f>IFERROR(__xludf.DUMMYFUNCTION("""COMPUTED_VALUE"""),"2")</f>
        <v>2</v>
      </c>
      <c r="H224" s="95" t="str">
        <f>IFERROR(__xludf.DUMMYFUNCTION("""COMPUTED_VALUE"""),"26032529005")</f>
        <v>26032529005</v>
      </c>
      <c r="I224" s="103" t="str">
        <f>IFERROR(__xludf.DUMMYFUNCTION("""COMPUTED_VALUE"""),"25/03/2026 16:34:54")</f>
        <v>25/03/2026 16:34:54</v>
      </c>
      <c r="J224" s="95" t="str">
        <f>IFERROR(__xludf.DUMMYFUNCTION("""COMPUTED_VALUE"""),"DAVY ALVES DA SILVA")</f>
        <v>DAVY ALVES DA SILVA</v>
      </c>
      <c r="K224" s="95" t="str">
        <f>IFERROR(__xludf.DUMMYFUNCTION("""COMPUTED_VALUE"""),"003.543.594-10")</f>
        <v>003.543.594-10</v>
      </c>
      <c r="L224" s="104" t="str">
        <f>IFERROR(__xludf.DUMMYFUNCTION("""COMPUTED_VALUE"""),"27/05/2025")</f>
        <v>27/05/2025</v>
      </c>
      <c r="M224" s="104"/>
      <c r="N224" s="95" t="str">
        <f>IFERROR(__xludf.DUMMYFUNCTION("""COMPUTED_VALUE"""),"0")</f>
        <v>0</v>
      </c>
      <c r="O224" s="95"/>
      <c r="P224" s="95"/>
      <c r="Q224" s="95"/>
      <c r="R224" s="95"/>
      <c r="S224" s="95"/>
      <c r="T224" s="95"/>
      <c r="U224" s="95"/>
      <c r="V224" s="95"/>
      <c r="W224" s="95"/>
      <c r="X224" s="95"/>
      <c r="Y224" s="95"/>
      <c r="Z224" s="95"/>
      <c r="AA224" s="95"/>
      <c r="AB224" s="95"/>
      <c r="AC224" s="95"/>
    </row>
    <row r="225" ht="15.75" customHeight="1" spans="1:29">
      <c r="A225" s="95"/>
      <c r="B225" s="95" t="str">
        <f>VLOOKUP(C225,lista_id!$D$2:$F$152,3,0)</f>
        <v>REGIONAL 2</v>
      </c>
      <c r="C225" s="102" t="str">
        <f>IFERROR(__xludf.DUMMYFUNCTION("""COMPUTED_VALUE"""),"CRECHE ALAYDE MARIA DA CONCEICAO")</f>
        <v>CRECHE ALAYDE MARIA DA CONCEICAO</v>
      </c>
      <c r="D225" s="95" t="str">
        <f>IFERROR(__xludf.DUMMYFUNCTION("""COMPUTED_VALUE"""),"INFANTIL 2")</f>
        <v>INFANTIL 2</v>
      </c>
      <c r="E225" s="95" t="str">
        <f>IFERROR(__xludf.DUMMYFUNCTION("""COMPUTED_VALUE"""),"Integral")</f>
        <v>Integral</v>
      </c>
      <c r="F225" s="95" t="str">
        <f>IFERROR(__xludf.DUMMYFUNCTION("""COMPUTED_VALUE"""),"Comum")</f>
        <v>Comum</v>
      </c>
      <c r="G225" s="95" t="str">
        <f>IFERROR(__xludf.DUMMYFUNCTION("""COMPUTED_VALUE"""),"1")</f>
        <v>1</v>
      </c>
      <c r="H225" s="95" t="str">
        <f>IFERROR(__xludf.DUMMYFUNCTION("""COMPUTED_VALUE"""),"26032219969")</f>
        <v>26032219969</v>
      </c>
      <c r="I225" s="103" t="str">
        <f>IFERROR(__xludf.DUMMYFUNCTION("""COMPUTED_VALUE"""),"19/03/2026 10:36:55")</f>
        <v>19/03/2026 10:36:55</v>
      </c>
      <c r="J225" s="95" t="str">
        <f>IFERROR(__xludf.DUMMYFUNCTION("""COMPUTED_VALUE"""),"ELLIZA EMANUELLEY MONTE DE LIMA")</f>
        <v>ELLIZA EMANUELLEY MONTE DE LIMA</v>
      </c>
      <c r="K225" s="95" t="str">
        <f>IFERROR(__xludf.DUMMYFUNCTION("""COMPUTED_VALUE"""),"185.171.144-93")</f>
        <v>185.171.144-93</v>
      </c>
      <c r="L225" s="104" t="str">
        <f>IFERROR(__xludf.DUMMYFUNCTION("""COMPUTED_VALUE"""),"21/04/2023")</f>
        <v>21/04/2023</v>
      </c>
      <c r="M225" s="104"/>
      <c r="N225" s="95" t="str">
        <f>IFERROR(__xludf.DUMMYFUNCTION("""COMPUTED_VALUE"""),"0")</f>
        <v>0</v>
      </c>
      <c r="O225" s="95"/>
      <c r="P225" s="95"/>
      <c r="Q225" s="95"/>
      <c r="R225" s="95"/>
      <c r="S225" s="95"/>
      <c r="T225" s="95"/>
      <c r="U225" s="95"/>
      <c r="V225" s="95"/>
      <c r="W225" s="95"/>
      <c r="X225" s="95"/>
      <c r="Y225" s="95"/>
      <c r="Z225" s="95"/>
      <c r="AA225" s="95"/>
      <c r="AB225" s="95"/>
      <c r="AC225" s="95"/>
    </row>
    <row r="226" ht="15.75" customHeight="1" spans="1:29">
      <c r="A226" s="95"/>
      <c r="B226" s="95" t="str">
        <f>VLOOKUP(C226,lista_id!$D$2:$F$152,3,0)</f>
        <v>REGIONAL 2</v>
      </c>
      <c r="C226" s="102" t="str">
        <f>IFERROR(__xludf.DUMMYFUNCTION("""COMPUTED_VALUE"""),"CRECHE ALAYDE MARIA DA CONCEICAO")</f>
        <v>CRECHE ALAYDE MARIA DA CONCEICAO</v>
      </c>
      <c r="D226" s="95" t="str">
        <f>IFERROR(__xludf.DUMMYFUNCTION("""COMPUTED_VALUE"""),"INFANTIL 2")</f>
        <v>INFANTIL 2</v>
      </c>
      <c r="E226" s="95" t="str">
        <f>IFERROR(__xludf.DUMMYFUNCTION("""COMPUTED_VALUE"""),"Integral")</f>
        <v>Integral</v>
      </c>
      <c r="F226" s="95" t="str">
        <f>IFERROR(__xludf.DUMMYFUNCTION("""COMPUTED_VALUE"""),"Comum")</f>
        <v>Comum</v>
      </c>
      <c r="G226" s="95" t="str">
        <f>IFERROR(__xludf.DUMMYFUNCTION("""COMPUTED_VALUE"""),"2")</f>
        <v>2</v>
      </c>
      <c r="H226" s="95" t="str">
        <f>IFERROR(__xludf.DUMMYFUNCTION("""COMPUTED_VALUE"""),"26032637968")</f>
        <v>26032637968</v>
      </c>
      <c r="I226" s="103" t="str">
        <f>IFERROR(__xludf.DUMMYFUNCTION("""COMPUTED_VALUE"""),"31/03/2026 12:14:35")</f>
        <v>31/03/2026 12:14:35</v>
      </c>
      <c r="J226" s="95" t="str">
        <f>IFERROR(__xludf.DUMMYFUNCTION("""COMPUTED_VALUE"""),"HELLOÁ DANIELLY AMORIM FELIX")</f>
        <v>HELLOÁ DANIELLY AMORIM FELIX</v>
      </c>
      <c r="K226" s="95" t="str">
        <f>IFERROR(__xludf.DUMMYFUNCTION("""COMPUTED_VALUE"""),"002.685.434-10")</f>
        <v>002.685.434-10</v>
      </c>
      <c r="L226" s="104" t="str">
        <f>IFERROR(__xludf.DUMMYFUNCTION("""COMPUTED_VALUE"""),"04/03/2024")</f>
        <v>04/03/2024</v>
      </c>
      <c r="M226" s="104"/>
      <c r="N226" s="95" t="str">
        <f>IFERROR(__xludf.DUMMYFUNCTION("""COMPUTED_VALUE"""),"0")</f>
        <v>0</v>
      </c>
      <c r="O226" s="95"/>
      <c r="P226" s="95"/>
      <c r="Q226" s="95"/>
      <c r="R226" s="95"/>
      <c r="S226" s="95"/>
      <c r="T226" s="95"/>
      <c r="U226" s="95"/>
      <c r="V226" s="95"/>
      <c r="W226" s="95"/>
      <c r="X226" s="95"/>
      <c r="Y226" s="95"/>
      <c r="Z226" s="95"/>
      <c r="AA226" s="95"/>
      <c r="AB226" s="95"/>
      <c r="AC226" s="95"/>
    </row>
    <row r="227" ht="15.75" customHeight="1" spans="1:29">
      <c r="A227" s="95"/>
      <c r="B227" s="95" t="str">
        <f>VLOOKUP(C227,lista_id!$D$2:$F$152,3,0)</f>
        <v>REGIONAL 2</v>
      </c>
      <c r="C227" s="102" t="str">
        <f>IFERROR(__xludf.DUMMYFUNCTION("""COMPUTED_VALUE"""),"CRECHE ALAYDE MARIA DA CONCEICAO")</f>
        <v>CRECHE ALAYDE MARIA DA CONCEICAO</v>
      </c>
      <c r="D227" s="95" t="str">
        <f>IFERROR(__xludf.DUMMYFUNCTION("""COMPUTED_VALUE"""),"INFANTIL 2")</f>
        <v>INFANTIL 2</v>
      </c>
      <c r="E227" s="95" t="str">
        <f>IFERROR(__xludf.DUMMYFUNCTION("""COMPUTED_VALUE"""),"Integral")</f>
        <v>Integral</v>
      </c>
      <c r="F227" s="95" t="str">
        <f>IFERROR(__xludf.DUMMYFUNCTION("""COMPUTED_VALUE"""),"Comum")</f>
        <v>Comum</v>
      </c>
      <c r="G227" s="95" t="str">
        <f>IFERROR(__xludf.DUMMYFUNCTION("""COMPUTED_VALUE"""),"3")</f>
        <v>3</v>
      </c>
      <c r="H227" s="95" t="str">
        <f>IFERROR(__xludf.DUMMYFUNCTION("""COMPUTED_VALUE"""),"26042667623")</f>
        <v>26042667623</v>
      </c>
      <c r="I227" s="103" t="str">
        <f>IFERROR(__xludf.DUMMYFUNCTION("""COMPUTED_VALUE"""),"27/04/2026 15:51:32")</f>
        <v>27/04/2026 15:51:32</v>
      </c>
      <c r="J227" s="95" t="str">
        <f>IFERROR(__xludf.DUMMYFUNCTION("""COMPUTED_VALUE"""),"EDRICK FELIPE MELO DOS SANTOS RODRIGUES")</f>
        <v>EDRICK FELIPE MELO DOS SANTOS RODRIGUES</v>
      </c>
      <c r="K227" s="95" t="str">
        <f>IFERROR(__xludf.DUMMYFUNCTION("""COMPUTED_VALUE"""),"001.939.124-22")</f>
        <v>001.939.124-22</v>
      </c>
      <c r="L227" s="106" t="str">
        <f>IFERROR(__xludf.DUMMYFUNCTION("""COMPUTED_VALUE"""),"11/02/2024")</f>
        <v>11/02/2024</v>
      </c>
      <c r="M227" s="104"/>
      <c r="N227" s="95" t="str">
        <f>IFERROR(__xludf.DUMMYFUNCTION("""COMPUTED_VALUE"""),"0")</f>
        <v>0</v>
      </c>
      <c r="O227" s="95"/>
      <c r="P227" s="95"/>
      <c r="Q227" s="95"/>
      <c r="R227" s="95"/>
      <c r="S227" s="95"/>
      <c r="T227" s="95"/>
      <c r="U227" s="95"/>
      <c r="V227" s="95"/>
      <c r="W227" s="95"/>
      <c r="X227" s="95"/>
      <c r="Y227" s="95"/>
      <c r="Z227" s="95"/>
      <c r="AA227" s="95"/>
      <c r="AB227" s="95"/>
      <c r="AC227" s="95"/>
    </row>
    <row r="228" ht="15.75" customHeight="1" spans="1:29">
      <c r="A228" s="95"/>
      <c r="B228" s="95" t="str">
        <f>VLOOKUP(C228,lista_id!$D$2:$F$152,3,0)</f>
        <v>REGIONAL 1</v>
      </c>
      <c r="C228" s="102" t="str">
        <f>IFERROR(__xludf.DUMMYFUNCTION("""COMPUTED_VALUE"""),"CRECHE CIRANDA CIRANDINHA")</f>
        <v>CRECHE CIRANDA CIRANDINHA</v>
      </c>
      <c r="D228" s="95" t="str">
        <f>IFERROR(__xludf.DUMMYFUNCTION("""COMPUTED_VALUE"""),"INFANTIL 1")</f>
        <v>INFANTIL 1</v>
      </c>
      <c r="E228" s="95" t="str">
        <f>IFERROR(__xludf.DUMMYFUNCTION("""COMPUTED_VALUE"""),"Integral")</f>
        <v>Integral</v>
      </c>
      <c r="F228" s="95" t="str">
        <f>IFERROR(__xludf.DUMMYFUNCTION("""COMPUTED_VALUE"""),"Comum")</f>
        <v>Comum</v>
      </c>
      <c r="G228" s="95" t="str">
        <f>IFERROR(__xludf.DUMMYFUNCTION("""COMPUTED_VALUE"""),"1")</f>
        <v>1</v>
      </c>
      <c r="H228" s="95" t="str">
        <f>IFERROR(__xludf.DUMMYFUNCTION("""COMPUTED_VALUE"""),"26012298364")</f>
        <v>26012298364</v>
      </c>
      <c r="I228" s="103" t="str">
        <f>IFERROR(__xludf.DUMMYFUNCTION("""COMPUTED_VALUE"""),"29/01/2026 11:44:10")</f>
        <v>29/01/2026 11:44:10</v>
      </c>
      <c r="J228" s="95" t="str">
        <f>IFERROR(__xludf.DUMMYFUNCTION("""COMPUTED_VALUE"""),"HENRY RICARDO DA SILVA DUARTE")</f>
        <v>HENRY RICARDO DA SILVA DUARTE</v>
      </c>
      <c r="K228" s="95" t="str">
        <f>IFERROR(__xludf.DUMMYFUNCTION("""COMPUTED_VALUE"""),"005.791.554-71")</f>
        <v>005.791.554-71</v>
      </c>
      <c r="L228" s="106" t="str">
        <f>IFERROR(__xludf.DUMMYFUNCTION("""COMPUTED_VALUE"""),"08/02/2025")</f>
        <v>08/02/2025</v>
      </c>
      <c r="M228" s="104"/>
      <c r="N228" s="95" t="str">
        <f>IFERROR(__xludf.DUMMYFUNCTION("""COMPUTED_VALUE"""),"0")</f>
        <v>0</v>
      </c>
      <c r="O228" s="95"/>
      <c r="P228" s="95"/>
      <c r="Q228" s="95"/>
      <c r="R228" s="95"/>
      <c r="S228" s="95"/>
      <c r="T228" s="95"/>
      <c r="U228" s="95"/>
      <c r="V228" s="95"/>
      <c r="W228" s="95"/>
      <c r="X228" s="95"/>
      <c r="Y228" s="95"/>
      <c r="Z228" s="95"/>
      <c r="AA228" s="95"/>
      <c r="AB228" s="95"/>
      <c r="AC228" s="95"/>
    </row>
    <row r="229" ht="15.75" customHeight="1" spans="1:29">
      <c r="A229" s="95"/>
      <c r="B229" s="95" t="str">
        <f>VLOOKUP(C229,lista_id!$D$2:$F$152,3,0)</f>
        <v>REGIONAL 1</v>
      </c>
      <c r="C229" s="102" t="str">
        <f>IFERROR(__xludf.DUMMYFUNCTION("""COMPUTED_VALUE"""),"CRECHE CIRANDA CIRANDINHA")</f>
        <v>CRECHE CIRANDA CIRANDINHA</v>
      </c>
      <c r="D229" s="95" t="str">
        <f>IFERROR(__xludf.DUMMYFUNCTION("""COMPUTED_VALUE"""),"INFANTIL 1")</f>
        <v>INFANTIL 1</v>
      </c>
      <c r="E229" s="95" t="str">
        <f>IFERROR(__xludf.DUMMYFUNCTION("""COMPUTED_VALUE"""),"Integral")</f>
        <v>Integral</v>
      </c>
      <c r="F229" s="95" t="str">
        <f>IFERROR(__xludf.DUMMYFUNCTION("""COMPUTED_VALUE"""),"Comum")</f>
        <v>Comum</v>
      </c>
      <c r="G229" s="95" t="str">
        <f>IFERROR(__xludf.DUMMYFUNCTION("""COMPUTED_VALUE"""),"2")</f>
        <v>2</v>
      </c>
      <c r="H229" s="95" t="str">
        <f>IFERROR(__xludf.DUMMYFUNCTION("""COMPUTED_VALUE"""),"26022540584")</f>
        <v>26022540584</v>
      </c>
      <c r="I229" s="103" t="str">
        <f>IFERROR(__xludf.DUMMYFUNCTION("""COMPUTED_VALUE"""),"04/02/2026 13:14:32")</f>
        <v>04/02/2026 13:14:32</v>
      </c>
      <c r="J229" s="95" t="str">
        <f>IFERROR(__xludf.DUMMYFUNCTION("""COMPUTED_VALUE"""),"CHLOE MARIANA NUNES DE SOUZA")</f>
        <v>CHLOE MARIANA NUNES DE SOUZA</v>
      </c>
      <c r="K229" s="95" t="str">
        <f>IFERROR(__xludf.DUMMYFUNCTION("""COMPUTED_VALUE"""),"002.834.774-90")</f>
        <v>002.834.774-90</v>
      </c>
      <c r="L229" s="104" t="str">
        <f>IFERROR(__xludf.DUMMYFUNCTION("""COMPUTED_VALUE"""),"24/04/2024")</f>
        <v>24/04/2024</v>
      </c>
      <c r="M229" s="104"/>
      <c r="N229" s="95" t="str">
        <f>IFERROR(__xludf.DUMMYFUNCTION("""COMPUTED_VALUE"""),"0")</f>
        <v>0</v>
      </c>
      <c r="O229" s="95"/>
      <c r="P229" s="95"/>
      <c r="Q229" s="95"/>
      <c r="R229" s="95"/>
      <c r="S229" s="95"/>
      <c r="T229" s="95"/>
      <c r="U229" s="95"/>
      <c r="V229" s="95"/>
      <c r="W229" s="95"/>
      <c r="X229" s="95"/>
      <c r="Y229" s="95"/>
      <c r="Z229" s="95"/>
      <c r="AA229" s="95"/>
      <c r="AB229" s="95"/>
      <c r="AC229" s="95"/>
    </row>
    <row r="230" ht="15.75" customHeight="1" spans="1:29">
      <c r="A230" s="95"/>
      <c r="B230" s="95" t="str">
        <f>VLOOKUP(C230,lista_id!$D$2:$F$152,3,0)</f>
        <v>REGIONAL 1</v>
      </c>
      <c r="C230" s="102" t="str">
        <f>IFERROR(__xludf.DUMMYFUNCTION("""COMPUTED_VALUE"""),"CRECHE CIRANDA CIRANDINHA")</f>
        <v>CRECHE CIRANDA CIRANDINHA</v>
      </c>
      <c r="D230" s="95" t="str">
        <f>IFERROR(__xludf.DUMMYFUNCTION("""COMPUTED_VALUE"""),"INFANTIL 1")</f>
        <v>INFANTIL 1</v>
      </c>
      <c r="E230" s="95" t="str">
        <f>IFERROR(__xludf.DUMMYFUNCTION("""COMPUTED_VALUE"""),"Integral")</f>
        <v>Integral</v>
      </c>
      <c r="F230" s="95" t="str">
        <f>IFERROR(__xludf.DUMMYFUNCTION("""COMPUTED_VALUE"""),"Comum")</f>
        <v>Comum</v>
      </c>
      <c r="G230" s="95" t="str">
        <f>IFERROR(__xludf.DUMMYFUNCTION("""COMPUTED_VALUE"""),"3")</f>
        <v>3</v>
      </c>
      <c r="H230" s="95" t="str">
        <f>IFERROR(__xludf.DUMMYFUNCTION("""COMPUTED_VALUE"""),"26022656798")</f>
        <v>26022656798</v>
      </c>
      <c r="I230" s="103" t="str">
        <f>IFERROR(__xludf.DUMMYFUNCTION("""COMPUTED_VALUE"""),"19/02/2026 09:00:23")</f>
        <v>19/02/2026 09:00:23</v>
      </c>
      <c r="J230" s="95" t="str">
        <f>IFERROR(__xludf.DUMMYFUNCTION("""COMPUTED_VALUE"""),"RHAVI LUCAS DA SILVA SANTANA")</f>
        <v>RHAVI LUCAS DA SILVA SANTANA</v>
      </c>
      <c r="K230" s="95" t="str">
        <f>IFERROR(__xludf.DUMMYFUNCTION("""COMPUTED_VALUE"""),"006.630.604-35")</f>
        <v>006.630.604-35</v>
      </c>
      <c r="L230" s="104" t="str">
        <f>IFERROR(__xludf.DUMMYFUNCTION("""COMPUTED_VALUE"""),"12/05/2025")</f>
        <v>12/05/2025</v>
      </c>
      <c r="M230" s="104"/>
      <c r="N230" s="95" t="str">
        <f>IFERROR(__xludf.DUMMYFUNCTION("""COMPUTED_VALUE"""),"0")</f>
        <v>0</v>
      </c>
      <c r="O230" s="95"/>
      <c r="P230" s="95"/>
      <c r="Q230" s="95"/>
      <c r="R230" s="95"/>
      <c r="S230" s="95"/>
      <c r="T230" s="95"/>
      <c r="U230" s="95"/>
      <c r="V230" s="95"/>
      <c r="W230" s="95"/>
      <c r="X230" s="95"/>
      <c r="Y230" s="95"/>
      <c r="Z230" s="95"/>
      <c r="AA230" s="95"/>
      <c r="AB230" s="95"/>
      <c r="AC230" s="95"/>
    </row>
    <row r="231" ht="15.75" customHeight="1" spans="1:29">
      <c r="A231" s="95"/>
      <c r="B231" s="95" t="str">
        <f>VLOOKUP(C231,lista_id!$D$2:$F$152,3,0)</f>
        <v>REGIONAL 1</v>
      </c>
      <c r="C231" s="102" t="str">
        <f>IFERROR(__xludf.DUMMYFUNCTION("""COMPUTED_VALUE"""),"CRECHE CIRANDA CIRANDINHA")</f>
        <v>CRECHE CIRANDA CIRANDINHA</v>
      </c>
      <c r="D231" s="95" t="str">
        <f>IFERROR(__xludf.DUMMYFUNCTION("""COMPUTED_VALUE"""),"INFANTIL 1")</f>
        <v>INFANTIL 1</v>
      </c>
      <c r="E231" s="95" t="str">
        <f>IFERROR(__xludf.DUMMYFUNCTION("""COMPUTED_VALUE"""),"Integral")</f>
        <v>Integral</v>
      </c>
      <c r="F231" s="95" t="str">
        <f>IFERROR(__xludf.DUMMYFUNCTION("""COMPUTED_VALUE"""),"Comum")</f>
        <v>Comum</v>
      </c>
      <c r="G231" s="95" t="str">
        <f>IFERROR(__xludf.DUMMYFUNCTION("""COMPUTED_VALUE"""),"4")</f>
        <v>4</v>
      </c>
      <c r="H231" s="95" t="str">
        <f>IFERROR(__xludf.DUMMYFUNCTION("""COMPUTED_VALUE"""),"26032361580")</f>
        <v>26032361580</v>
      </c>
      <c r="I231" s="103" t="str">
        <f>IFERROR(__xludf.DUMMYFUNCTION("""COMPUTED_VALUE"""),"14/03/2026 10:04:37")</f>
        <v>14/03/2026 10:04:37</v>
      </c>
      <c r="J231" s="95" t="str">
        <f>IFERROR(__xludf.DUMMYFUNCTION("""COMPUTED_VALUE"""),"BERNARDO CARVALHO")</f>
        <v>BERNARDO CARVALHO</v>
      </c>
      <c r="K231" s="95" t="str">
        <f>IFERROR(__xludf.DUMMYFUNCTION("""COMPUTED_VALUE"""),"003.334.034-01")</f>
        <v>003.334.034-01</v>
      </c>
      <c r="L231" s="104" t="str">
        <f>IFERROR(__xludf.DUMMYFUNCTION("""COMPUTED_VALUE"""),"27/06/2024")</f>
        <v>27/06/2024</v>
      </c>
      <c r="M231" s="104"/>
      <c r="N231" s="95" t="str">
        <f>IFERROR(__xludf.DUMMYFUNCTION("""COMPUTED_VALUE"""),"0")</f>
        <v>0</v>
      </c>
      <c r="O231" s="95"/>
      <c r="P231" s="95"/>
      <c r="Q231" s="95"/>
      <c r="R231" s="95"/>
      <c r="S231" s="95"/>
      <c r="T231" s="95"/>
      <c r="U231" s="95"/>
      <c r="V231" s="95"/>
      <c r="W231" s="95"/>
      <c r="X231" s="95"/>
      <c r="Y231" s="95"/>
      <c r="Z231" s="95"/>
      <c r="AA231" s="95"/>
      <c r="AB231" s="95"/>
      <c r="AC231" s="95"/>
    </row>
    <row r="232" ht="15.75" customHeight="1" spans="1:29">
      <c r="A232" s="95"/>
      <c r="B232" s="95" t="str">
        <f>VLOOKUP(C232,lista_id!$D$2:$F$152,3,0)</f>
        <v>REGIONAL 1</v>
      </c>
      <c r="C232" s="102" t="str">
        <f>IFERROR(__xludf.DUMMYFUNCTION("""COMPUTED_VALUE"""),"CRECHE CIRANDA CIRANDINHA")</f>
        <v>CRECHE CIRANDA CIRANDINHA</v>
      </c>
      <c r="D232" s="95" t="str">
        <f>IFERROR(__xludf.DUMMYFUNCTION("""COMPUTED_VALUE"""),"INFANTIL 1")</f>
        <v>INFANTIL 1</v>
      </c>
      <c r="E232" s="95" t="str">
        <f>IFERROR(__xludf.DUMMYFUNCTION("""COMPUTED_VALUE"""),"Integral")</f>
        <v>Integral</v>
      </c>
      <c r="F232" s="95" t="str">
        <f>IFERROR(__xludf.DUMMYFUNCTION("""COMPUTED_VALUE"""),"Comum")</f>
        <v>Comum</v>
      </c>
      <c r="G232" s="95" t="str">
        <f>IFERROR(__xludf.DUMMYFUNCTION("""COMPUTED_VALUE"""),"5")</f>
        <v>5</v>
      </c>
      <c r="H232" s="95" t="str">
        <f>IFERROR(__xludf.DUMMYFUNCTION("""COMPUTED_VALUE"""),"26032635725")</f>
        <v>26032635725</v>
      </c>
      <c r="I232" s="103" t="str">
        <f>IFERROR(__xludf.DUMMYFUNCTION("""COMPUTED_VALUE"""),"30/03/2026 09:26:32")</f>
        <v>30/03/2026 09:26:32</v>
      </c>
      <c r="J232" s="95" t="str">
        <f>IFERROR(__xludf.DUMMYFUNCTION("""COMPUTED_VALUE"""),"BELLA MARIA DA SILVA ARAÚJO")</f>
        <v>BELLA MARIA DA SILVA ARAÚJO</v>
      </c>
      <c r="K232" s="95" t="str">
        <f>IFERROR(__xludf.DUMMYFUNCTION("""COMPUTED_VALUE"""),"002.551.834-88")</f>
        <v>002.551.834-88</v>
      </c>
      <c r="L232" s="104" t="str">
        <f>IFERROR(__xludf.DUMMYFUNCTION("""COMPUTED_VALUE"""),"03/04/2024")</f>
        <v>03/04/2024</v>
      </c>
      <c r="M232" s="104"/>
      <c r="N232" s="95" t="str">
        <f>IFERROR(__xludf.DUMMYFUNCTION("""COMPUTED_VALUE"""),"0")</f>
        <v>0</v>
      </c>
      <c r="O232" s="95"/>
      <c r="P232" s="95"/>
      <c r="Q232" s="95"/>
      <c r="R232" s="95"/>
      <c r="S232" s="95"/>
      <c r="T232" s="95"/>
      <c r="U232" s="95"/>
      <c r="V232" s="95"/>
      <c r="W232" s="95"/>
      <c r="X232" s="95"/>
      <c r="Y232" s="95"/>
      <c r="Z232" s="95"/>
      <c r="AA232" s="95"/>
      <c r="AB232" s="95"/>
      <c r="AC232" s="95"/>
    </row>
    <row r="233" ht="15.75" customHeight="1" spans="1:29">
      <c r="A233" s="95"/>
      <c r="B233" s="95" t="str">
        <f>VLOOKUP(C233,lista_id!$D$2:$F$152,3,0)</f>
        <v>REGIONAL 1</v>
      </c>
      <c r="C233" s="102" t="str">
        <f>IFERROR(__xludf.DUMMYFUNCTION("""COMPUTED_VALUE"""),"CRECHE CIRANDA CIRANDINHA")</f>
        <v>CRECHE CIRANDA CIRANDINHA</v>
      </c>
      <c r="D233" s="95" t="str">
        <f>IFERROR(__xludf.DUMMYFUNCTION("""COMPUTED_VALUE"""),"INFANTIL 1")</f>
        <v>INFANTIL 1</v>
      </c>
      <c r="E233" s="95" t="str">
        <f>IFERROR(__xludf.DUMMYFUNCTION("""COMPUTED_VALUE"""),"Integral")</f>
        <v>Integral</v>
      </c>
      <c r="F233" s="95" t="str">
        <f>IFERROR(__xludf.DUMMYFUNCTION("""COMPUTED_VALUE"""),"Comum")</f>
        <v>Comum</v>
      </c>
      <c r="G233" s="95" t="str">
        <f>IFERROR(__xludf.DUMMYFUNCTION("""COMPUTED_VALUE"""),"6")</f>
        <v>6</v>
      </c>
      <c r="H233" s="95" t="str">
        <f>IFERROR(__xludf.DUMMYFUNCTION("""COMPUTED_VALUE"""),"26032478613")</f>
        <v>26032478613</v>
      </c>
      <c r="I233" s="103" t="str">
        <f>IFERROR(__xludf.DUMMYFUNCTION("""COMPUTED_VALUE"""),"30/03/2026 09:26:32")</f>
        <v>30/03/2026 09:26:32</v>
      </c>
      <c r="J233" s="95" t="str">
        <f>IFERROR(__xludf.DUMMYFUNCTION("""COMPUTED_VALUE"""),"BERNARDO JOSÉ DA SILVA ARAÚJO")</f>
        <v>BERNARDO JOSÉ DA SILVA ARAÚJO</v>
      </c>
      <c r="K233" s="95" t="str">
        <f>IFERROR(__xludf.DUMMYFUNCTION("""COMPUTED_VALUE"""),"002.551.294-32")</f>
        <v>002.551.294-32</v>
      </c>
      <c r="L233" s="104" t="str">
        <f>IFERROR(__xludf.DUMMYFUNCTION("""COMPUTED_VALUE"""),"03/04/2024")</f>
        <v>03/04/2024</v>
      </c>
      <c r="M233" s="104"/>
      <c r="N233" s="95" t="str">
        <f>IFERROR(__xludf.DUMMYFUNCTION("""COMPUTED_VALUE"""),"0")</f>
        <v>0</v>
      </c>
      <c r="O233" s="95"/>
      <c r="P233" s="95"/>
      <c r="Q233" s="95"/>
      <c r="R233" s="95"/>
      <c r="S233" s="95"/>
      <c r="T233" s="95"/>
      <c r="U233" s="95"/>
      <c r="V233" s="95"/>
      <c r="W233" s="95"/>
      <c r="X233" s="95"/>
      <c r="Y233" s="95"/>
      <c r="Z233" s="95"/>
      <c r="AA233" s="95"/>
      <c r="AB233" s="95"/>
      <c r="AC233" s="95"/>
    </row>
    <row r="234" ht="15.75" customHeight="1" spans="1:29">
      <c r="A234" s="95"/>
      <c r="B234" s="95" t="str">
        <f>VLOOKUP(C234,lista_id!$D$2:$F$152,3,0)</f>
        <v>REGIONAL 1</v>
      </c>
      <c r="C234" s="102" t="str">
        <f>IFERROR(__xludf.DUMMYFUNCTION("""COMPUTED_VALUE"""),"CRECHE CIRANDA CIRANDINHA")</f>
        <v>CRECHE CIRANDA CIRANDINHA</v>
      </c>
      <c r="D234" s="95" t="str">
        <f>IFERROR(__xludf.DUMMYFUNCTION("""COMPUTED_VALUE"""),"INFANTIL 1")</f>
        <v>INFANTIL 1</v>
      </c>
      <c r="E234" s="95" t="str">
        <f>IFERROR(__xludf.DUMMYFUNCTION("""COMPUTED_VALUE"""),"Integral")</f>
        <v>Integral</v>
      </c>
      <c r="F234" s="95" t="str">
        <f>IFERROR(__xludf.DUMMYFUNCTION("""COMPUTED_VALUE"""),"Comum")</f>
        <v>Comum</v>
      </c>
      <c r="G234" s="95" t="str">
        <f>IFERROR(__xludf.DUMMYFUNCTION("""COMPUTED_VALUE"""),"7")</f>
        <v>7</v>
      </c>
      <c r="H234" s="95" t="str">
        <f>IFERROR(__xludf.DUMMYFUNCTION("""COMPUTED_VALUE"""),"26042609036")</f>
        <v>26042609036</v>
      </c>
      <c r="I234" s="103" t="str">
        <f>IFERROR(__xludf.DUMMYFUNCTION("""COMPUTED_VALUE"""),"29/04/2026 14:37:28")</f>
        <v>29/04/2026 14:37:28</v>
      </c>
      <c r="J234" s="95" t="str">
        <f>IFERROR(__xludf.DUMMYFUNCTION("""COMPUTED_VALUE"""),"KAUE RAVI BATISTA DO BOMFIM")</f>
        <v>KAUE RAVI BATISTA DO BOMFIM</v>
      </c>
      <c r="K234" s="95" t="str">
        <f>IFERROR(__xludf.DUMMYFUNCTION("""COMPUTED_VALUE"""),"006.037.364-40")</f>
        <v>006.037.364-40</v>
      </c>
      <c r="L234" s="104" t="str">
        <f>IFERROR(__xludf.DUMMYFUNCTION("""COMPUTED_VALUE"""),"14/01/2025")</f>
        <v>14/01/2025</v>
      </c>
      <c r="M234" s="104"/>
      <c r="N234" s="95" t="str">
        <f>IFERROR(__xludf.DUMMYFUNCTION("""COMPUTED_VALUE"""),"0")</f>
        <v>0</v>
      </c>
      <c r="O234" s="95"/>
      <c r="P234" s="95"/>
      <c r="Q234" s="95"/>
      <c r="R234" s="95"/>
      <c r="S234" s="95"/>
      <c r="T234" s="95"/>
      <c r="U234" s="95"/>
      <c r="V234" s="95"/>
      <c r="W234" s="95"/>
      <c r="X234" s="95"/>
      <c r="Y234" s="95"/>
      <c r="Z234" s="95"/>
      <c r="AA234" s="95"/>
      <c r="AB234" s="95"/>
      <c r="AC234" s="95"/>
    </row>
    <row r="235" ht="15.75" customHeight="1" spans="1:29">
      <c r="A235" s="95"/>
      <c r="B235" s="95" t="str">
        <f>VLOOKUP(C235,lista_id!$D$2:$F$152,3,0)</f>
        <v>REGIONAL 1</v>
      </c>
      <c r="C235" s="102" t="str">
        <f>IFERROR(__xludf.DUMMYFUNCTION("""COMPUTED_VALUE"""),"CRECHE CIRANDA CIRANDINHA")</f>
        <v>CRECHE CIRANDA CIRANDINHA</v>
      </c>
      <c r="D235" s="95" t="str">
        <f>IFERROR(__xludf.DUMMYFUNCTION("""COMPUTED_VALUE"""),"INFANTIL 1")</f>
        <v>INFANTIL 1</v>
      </c>
      <c r="E235" s="95" t="str">
        <f>IFERROR(__xludf.DUMMYFUNCTION("""COMPUTED_VALUE"""),"Integral")</f>
        <v>Integral</v>
      </c>
      <c r="F235" s="95" t="str">
        <f>IFERROR(__xludf.DUMMYFUNCTION("""COMPUTED_VALUE"""),"Comum")</f>
        <v>Comum</v>
      </c>
      <c r="G235" s="95" t="str">
        <f>IFERROR(__xludf.DUMMYFUNCTION("""COMPUTED_VALUE"""),"8")</f>
        <v>8</v>
      </c>
      <c r="H235" s="95" t="str">
        <f>IFERROR(__xludf.DUMMYFUNCTION("""COMPUTED_VALUE"""),"26052003836")</f>
        <v>26052003836</v>
      </c>
      <c r="I235" s="105" t="str">
        <f>IFERROR(__xludf.DUMMYFUNCTION("""COMPUTED_VALUE"""),"28/05/2026 16:17:10")</f>
        <v>28/05/2026 16:17:10</v>
      </c>
      <c r="J235" s="95" t="str">
        <f>IFERROR(__xludf.DUMMYFUNCTION("""COMPUTED_VALUE"""),"HELENA CECÍLIA RAIMUNDO GOMES")</f>
        <v>HELENA CECÍLIA RAIMUNDO GOMES</v>
      </c>
      <c r="K235" s="95" t="str">
        <f>IFERROR(__xludf.DUMMYFUNCTION("""COMPUTED_VALUE"""),"004.781.934-08")</f>
        <v>004.781.934-08</v>
      </c>
      <c r="L235" s="104" t="str">
        <f>IFERROR(__xludf.DUMMYFUNCTION("""COMPUTED_VALUE"""),"02/12/2024")</f>
        <v>02/12/2024</v>
      </c>
      <c r="M235" s="104"/>
      <c r="N235" s="95" t="str">
        <f>IFERROR(__xludf.DUMMYFUNCTION("""COMPUTED_VALUE"""),"0")</f>
        <v>0</v>
      </c>
      <c r="O235" s="95"/>
      <c r="P235" s="95"/>
      <c r="Q235" s="95"/>
      <c r="R235" s="95"/>
      <c r="S235" s="95"/>
      <c r="T235" s="95"/>
      <c r="U235" s="95"/>
      <c r="V235" s="95"/>
      <c r="W235" s="95"/>
      <c r="X235" s="95"/>
      <c r="Y235" s="95"/>
      <c r="Z235" s="95"/>
      <c r="AA235" s="95"/>
      <c r="AB235" s="95"/>
      <c r="AC235" s="95"/>
    </row>
    <row r="236" ht="15.75" customHeight="1" spans="1:29">
      <c r="A236" s="95"/>
      <c r="B236" s="95" t="str">
        <f>VLOOKUP(C236,lista_id!$D$2:$F$152,3,0)</f>
        <v>REGIONAL 1</v>
      </c>
      <c r="C236" s="102" t="str">
        <f>IFERROR(__xludf.DUMMYFUNCTION("""COMPUTED_VALUE"""),"CRECHE CIRANDA CIRANDINHA")</f>
        <v>CRECHE CIRANDA CIRANDINHA</v>
      </c>
      <c r="D236" s="95" t="str">
        <f>IFERROR(__xludf.DUMMYFUNCTION("""COMPUTED_VALUE"""),"INFANTIL 2")</f>
        <v>INFANTIL 2</v>
      </c>
      <c r="E236" s="95" t="str">
        <f>IFERROR(__xludf.DUMMYFUNCTION("""COMPUTED_VALUE"""),"Integral")</f>
        <v>Integral</v>
      </c>
      <c r="F236" s="95" t="str">
        <f>IFERROR(__xludf.DUMMYFUNCTION("""COMPUTED_VALUE"""),"Comum")</f>
        <v>Comum</v>
      </c>
      <c r="G236" s="95" t="str">
        <f>IFERROR(__xludf.DUMMYFUNCTION("""COMPUTED_VALUE"""),"1")</f>
        <v>1</v>
      </c>
      <c r="H236" s="95" t="str">
        <f>IFERROR(__xludf.DUMMYFUNCTION("""COMPUTED_VALUE"""),"26022989976")</f>
        <v>26022989976</v>
      </c>
      <c r="I236" s="105" t="str">
        <f>IFERROR(__xludf.DUMMYFUNCTION("""COMPUTED_VALUE"""),"02/02/2026 14:50:25")</f>
        <v>02/02/2026 14:50:25</v>
      </c>
      <c r="J236" s="95" t="str">
        <f>IFERROR(__xludf.DUMMYFUNCTION("""COMPUTED_VALUE"""),"ALYCIA THAUANA ALBUQUERQUE MOURA DE MELO")</f>
        <v>ALYCIA THAUANA ALBUQUERQUE MOURA DE MELO</v>
      </c>
      <c r="K236" s="95" t="str">
        <f>IFERROR(__xludf.DUMMYFUNCTION("""COMPUTED_VALUE"""),"000.874.154-96")</f>
        <v>000.874.154-96</v>
      </c>
      <c r="L236" s="104" t="str">
        <f>IFERROR(__xludf.DUMMYFUNCTION("""COMPUTED_VALUE"""),"04/10/2023")</f>
        <v>04/10/2023</v>
      </c>
      <c r="M236" s="104"/>
      <c r="N236" s="95" t="str">
        <f>IFERROR(__xludf.DUMMYFUNCTION("""COMPUTED_VALUE"""),"0")</f>
        <v>0</v>
      </c>
      <c r="O236" s="95"/>
      <c r="P236" s="95"/>
      <c r="Q236" s="95"/>
      <c r="R236" s="95"/>
      <c r="S236" s="95"/>
      <c r="T236" s="95"/>
      <c r="U236" s="95"/>
      <c r="V236" s="95"/>
      <c r="W236" s="95"/>
      <c r="X236" s="95"/>
      <c r="Y236" s="95"/>
      <c r="Z236" s="95"/>
      <c r="AA236" s="95"/>
      <c r="AB236" s="95"/>
      <c r="AC236" s="95"/>
    </row>
    <row r="237" ht="15.75" customHeight="1" spans="1:29">
      <c r="A237" s="95"/>
      <c r="B237" s="95" t="str">
        <f>VLOOKUP(C237,lista_id!$D$2:$F$152,3,0)</f>
        <v>REGIONAL 1</v>
      </c>
      <c r="C237" s="102" t="str">
        <f>IFERROR(__xludf.DUMMYFUNCTION("""COMPUTED_VALUE"""),"CRECHE CIRANDA CIRANDINHA")</f>
        <v>CRECHE CIRANDA CIRANDINHA</v>
      </c>
      <c r="D237" s="95" t="str">
        <f>IFERROR(__xludf.DUMMYFUNCTION("""COMPUTED_VALUE"""),"INFANTIL 2")</f>
        <v>INFANTIL 2</v>
      </c>
      <c r="E237" s="95" t="str">
        <f>IFERROR(__xludf.DUMMYFUNCTION("""COMPUTED_VALUE"""),"Integral")</f>
        <v>Integral</v>
      </c>
      <c r="F237" s="95" t="str">
        <f>IFERROR(__xludf.DUMMYFUNCTION("""COMPUTED_VALUE"""),"Comum")</f>
        <v>Comum</v>
      </c>
      <c r="G237" s="95" t="str">
        <f>IFERROR(__xludf.DUMMYFUNCTION("""COMPUTED_VALUE"""),"2")</f>
        <v>2</v>
      </c>
      <c r="H237" s="95" t="str">
        <f>IFERROR(__xludf.DUMMYFUNCTION("""COMPUTED_VALUE"""),"26022840134")</f>
        <v>26022840134</v>
      </c>
      <c r="I237" s="105" t="str">
        <f>IFERROR(__xludf.DUMMYFUNCTION("""COMPUTED_VALUE"""),"09/02/2026 08:21:00")</f>
        <v>09/02/2026 08:21:00</v>
      </c>
      <c r="J237" s="95" t="str">
        <f>IFERROR(__xludf.DUMMYFUNCTION("""COMPUTED_VALUE"""),"ELOÁH VITORIA GOMES VASCONCELOS")</f>
        <v>ELOÁH VITORIA GOMES VASCONCELOS</v>
      </c>
      <c r="K237" s="95" t="str">
        <f>IFERROR(__xludf.DUMMYFUNCTION("""COMPUTED_VALUE"""),"186.021.224-70")</f>
        <v>186.021.224-70</v>
      </c>
      <c r="L237" s="104" t="str">
        <f>IFERROR(__xludf.DUMMYFUNCTION("""COMPUTED_VALUE"""),"15/07/2023")</f>
        <v>15/07/2023</v>
      </c>
      <c r="M237" s="104"/>
      <c r="N237" s="95" t="str">
        <f>IFERROR(__xludf.DUMMYFUNCTION("""COMPUTED_VALUE"""),"0")</f>
        <v>0</v>
      </c>
      <c r="O237" s="95"/>
      <c r="P237" s="95"/>
      <c r="Q237" s="95"/>
      <c r="R237" s="95"/>
      <c r="S237" s="95"/>
      <c r="T237" s="95"/>
      <c r="U237" s="95"/>
      <c r="V237" s="95"/>
      <c r="W237" s="95"/>
      <c r="X237" s="95"/>
      <c r="Y237" s="95"/>
      <c r="Z237" s="95"/>
      <c r="AA237" s="95"/>
      <c r="AB237" s="95"/>
      <c r="AC237" s="95"/>
    </row>
    <row r="238" ht="15.75" customHeight="1" spans="1:29">
      <c r="A238" s="95"/>
      <c r="B238" s="95" t="str">
        <f>VLOOKUP(C238,lista_id!$D$2:$F$152,3,0)</f>
        <v>REGIONAL 1</v>
      </c>
      <c r="C238" s="102" t="str">
        <f>IFERROR(__xludf.DUMMYFUNCTION("""COMPUTED_VALUE"""),"CRECHE CIRANDA CIRANDINHA")</f>
        <v>CRECHE CIRANDA CIRANDINHA</v>
      </c>
      <c r="D238" s="95" t="str">
        <f>IFERROR(__xludf.DUMMYFUNCTION("""COMPUTED_VALUE"""),"INFANTIL 2")</f>
        <v>INFANTIL 2</v>
      </c>
      <c r="E238" s="95" t="str">
        <f>IFERROR(__xludf.DUMMYFUNCTION("""COMPUTED_VALUE"""),"Integral")</f>
        <v>Integral</v>
      </c>
      <c r="F238" s="95" t="str">
        <f>IFERROR(__xludf.DUMMYFUNCTION("""COMPUTED_VALUE"""),"Comum")</f>
        <v>Comum</v>
      </c>
      <c r="G238" s="95" t="str">
        <f>IFERROR(__xludf.DUMMYFUNCTION("""COMPUTED_VALUE"""),"3")</f>
        <v>3</v>
      </c>
      <c r="H238" s="95" t="str">
        <f>IFERROR(__xludf.DUMMYFUNCTION("""COMPUTED_VALUE"""),"26042477679")</f>
        <v>26042477679</v>
      </c>
      <c r="I238" s="105" t="str">
        <f>IFERROR(__xludf.DUMMYFUNCTION("""COMPUTED_VALUE"""),"05/04/2026 12:01:39")</f>
        <v>05/04/2026 12:01:39</v>
      </c>
      <c r="J238" s="95" t="str">
        <f>IFERROR(__xludf.DUMMYFUNCTION("""COMPUTED_VALUE"""),"BENJAMIM RENNAN MARTINS TEODOZIO DA SILVA")</f>
        <v>BENJAMIM RENNAN MARTINS TEODOZIO DA SILVA</v>
      </c>
      <c r="K238" s="95" t="str">
        <f>IFERROR(__xludf.DUMMYFUNCTION("""COMPUTED_VALUE"""),"001.761.244-62")</f>
        <v>001.761.244-62</v>
      </c>
      <c r="L238" s="104" t="str">
        <f>IFERROR(__xludf.DUMMYFUNCTION("""COMPUTED_VALUE"""),"28/01/2024")</f>
        <v>28/01/2024</v>
      </c>
      <c r="M238" s="104"/>
      <c r="N238" s="95" t="str">
        <f>IFERROR(__xludf.DUMMYFUNCTION("""COMPUTED_VALUE"""),"0")</f>
        <v>0</v>
      </c>
      <c r="O238" s="95"/>
      <c r="P238" s="95"/>
      <c r="Q238" s="95"/>
      <c r="R238" s="95"/>
      <c r="S238" s="95"/>
      <c r="T238" s="95"/>
      <c r="U238" s="95"/>
      <c r="V238" s="95"/>
      <c r="W238" s="95"/>
      <c r="X238" s="95"/>
      <c r="Y238" s="95"/>
      <c r="Z238" s="95"/>
      <c r="AA238" s="95"/>
      <c r="AB238" s="95"/>
      <c r="AC238" s="95"/>
    </row>
    <row r="239" ht="15.75" customHeight="1" spans="1:29">
      <c r="A239" s="95"/>
      <c r="B239" s="95" t="str">
        <f>VLOOKUP(C239,lista_id!$D$2:$F$152,3,0)</f>
        <v>REGIONAL 1</v>
      </c>
      <c r="C239" s="102" t="str">
        <f>IFERROR(__xludf.DUMMYFUNCTION("""COMPUTED_VALUE"""),"CRECHE CIRANDA CIRANDINHA")</f>
        <v>CRECHE CIRANDA CIRANDINHA</v>
      </c>
      <c r="D239" s="95" t="str">
        <f>IFERROR(__xludf.DUMMYFUNCTION("""COMPUTED_VALUE"""),"INFANTIL 2")</f>
        <v>INFANTIL 2</v>
      </c>
      <c r="E239" s="95" t="str">
        <f>IFERROR(__xludf.DUMMYFUNCTION("""COMPUTED_VALUE"""),"Integral")</f>
        <v>Integral</v>
      </c>
      <c r="F239" s="95" t="str">
        <f>IFERROR(__xludf.DUMMYFUNCTION("""COMPUTED_VALUE"""),"Comum")</f>
        <v>Comum</v>
      </c>
      <c r="G239" s="95" t="str">
        <f>IFERROR(__xludf.DUMMYFUNCTION("""COMPUTED_VALUE"""),"4")</f>
        <v>4</v>
      </c>
      <c r="H239" s="95" t="str">
        <f>IFERROR(__xludf.DUMMYFUNCTION("""COMPUTED_VALUE"""),"26042946994")</f>
        <v>26042946994</v>
      </c>
      <c r="I239" s="105" t="str">
        <f>IFERROR(__xludf.DUMMYFUNCTION("""COMPUTED_VALUE"""),"27/04/2026 12:48:07")</f>
        <v>27/04/2026 12:48:07</v>
      </c>
      <c r="J239" s="95" t="str">
        <f>IFERROR(__xludf.DUMMYFUNCTION("""COMPUTED_VALUE"""),"ANNYELLE AURORA DE SOUZA SENA")</f>
        <v>ANNYELLE AURORA DE SOUZA SENA</v>
      </c>
      <c r="K239" s="95" t="str">
        <f>IFERROR(__xludf.DUMMYFUNCTION("""COMPUTED_VALUE"""),"001.389.664-43")</f>
        <v>001.389.664-43</v>
      </c>
      <c r="L239" s="104" t="str">
        <f>IFERROR(__xludf.DUMMYFUNCTION("""COMPUTED_VALUE"""),"23/12/2023")</f>
        <v>23/12/2023</v>
      </c>
      <c r="M239" s="104"/>
      <c r="N239" s="95" t="str">
        <f>IFERROR(__xludf.DUMMYFUNCTION("""COMPUTED_VALUE"""),"0")</f>
        <v>0</v>
      </c>
      <c r="O239" s="95"/>
      <c r="P239" s="95"/>
      <c r="Q239" s="95"/>
      <c r="R239" s="95"/>
      <c r="S239" s="95"/>
      <c r="T239" s="95"/>
      <c r="U239" s="95"/>
      <c r="V239" s="95"/>
      <c r="W239" s="95"/>
      <c r="X239" s="95"/>
      <c r="Y239" s="95"/>
      <c r="Z239" s="95"/>
      <c r="AA239" s="95"/>
      <c r="AB239" s="95"/>
      <c r="AC239" s="95"/>
    </row>
    <row r="240" ht="15.75" customHeight="1" spans="1:29">
      <c r="A240" s="95"/>
      <c r="B240" s="95" t="str">
        <f>VLOOKUP(C240,lista_id!$D$2:$F$152,3,0)</f>
        <v>REGIONAL 1</v>
      </c>
      <c r="C240" s="102" t="str">
        <f>IFERROR(__xludf.DUMMYFUNCTION("""COMPUTED_VALUE"""),"CRECHE CIRANDA CIRANDINHA")</f>
        <v>CRECHE CIRANDA CIRANDINHA</v>
      </c>
      <c r="D240" s="95" t="str">
        <f>IFERROR(__xludf.DUMMYFUNCTION("""COMPUTED_VALUE"""),"INFANTIL 2")</f>
        <v>INFANTIL 2</v>
      </c>
      <c r="E240" s="95" t="str">
        <f>IFERROR(__xludf.DUMMYFUNCTION("""COMPUTED_VALUE"""),"Integral")</f>
        <v>Integral</v>
      </c>
      <c r="F240" s="95" t="str">
        <f>IFERROR(__xludf.DUMMYFUNCTION("""COMPUTED_VALUE"""),"Comum")</f>
        <v>Comum</v>
      </c>
      <c r="G240" s="95" t="str">
        <f>IFERROR(__xludf.DUMMYFUNCTION("""COMPUTED_VALUE"""),"5")</f>
        <v>5</v>
      </c>
      <c r="H240" s="95" t="str">
        <f>IFERROR(__xludf.DUMMYFUNCTION("""COMPUTED_VALUE"""),"26052949900")</f>
        <v>26052949900</v>
      </c>
      <c r="I240" s="105" t="str">
        <f>IFERROR(__xludf.DUMMYFUNCTION("""COMPUTED_VALUE"""),"15/05/2026 16:29:07")</f>
        <v>15/05/2026 16:29:07</v>
      </c>
      <c r="J240" s="95" t="str">
        <f>IFERROR(__xludf.DUMMYFUNCTION("""COMPUTED_VALUE"""),"ALANA MARIA LOPES DA SILVA")</f>
        <v>ALANA MARIA LOPES DA SILVA</v>
      </c>
      <c r="K240" s="95" t="str">
        <f>IFERROR(__xludf.DUMMYFUNCTION("""COMPUTED_VALUE"""),"002.579.874-01")</f>
        <v>002.579.874-01</v>
      </c>
      <c r="L240" s="104" t="str">
        <f>IFERROR(__xludf.DUMMYFUNCTION("""COMPUTED_VALUE"""),"18/02/2024")</f>
        <v>18/02/2024</v>
      </c>
      <c r="M240" s="104"/>
      <c r="N240" s="95" t="str">
        <f>IFERROR(__xludf.DUMMYFUNCTION("""COMPUTED_VALUE"""),"0")</f>
        <v>0</v>
      </c>
      <c r="O240" s="95"/>
      <c r="P240" s="95"/>
      <c r="Q240" s="95"/>
      <c r="R240" s="95"/>
      <c r="S240" s="95"/>
      <c r="T240" s="95"/>
      <c r="U240" s="95"/>
      <c r="V240" s="95"/>
      <c r="W240" s="95"/>
      <c r="X240" s="95"/>
      <c r="Y240" s="95"/>
      <c r="Z240" s="95"/>
      <c r="AA240" s="95"/>
      <c r="AB240" s="95"/>
      <c r="AC240" s="95"/>
    </row>
    <row r="241" ht="15.75" customHeight="1" spans="1:29">
      <c r="A241" s="95"/>
      <c r="B241" s="95" t="str">
        <f>VLOOKUP(C241,lista_id!$D$2:$F$152,3,0)</f>
        <v>REGIONAL 1</v>
      </c>
      <c r="C241" s="102" t="str">
        <f>IFERROR(__xludf.DUMMYFUNCTION("""COMPUTED_VALUE"""),"CRECHE CIRANDA CIRANDINHA")</f>
        <v>CRECHE CIRANDA CIRANDINHA</v>
      </c>
      <c r="D241" s="95" t="str">
        <f>IFERROR(__xludf.DUMMYFUNCTION("""COMPUTED_VALUE"""),"INFANTIL 2")</f>
        <v>INFANTIL 2</v>
      </c>
      <c r="E241" s="95" t="str">
        <f>IFERROR(__xludf.DUMMYFUNCTION("""COMPUTED_VALUE"""),"Integral")</f>
        <v>Integral</v>
      </c>
      <c r="F241" s="95" t="str">
        <f>IFERROR(__xludf.DUMMYFUNCTION("""COMPUTED_VALUE"""),"Comum")</f>
        <v>Comum</v>
      </c>
      <c r="G241" s="95" t="str">
        <f>IFERROR(__xludf.DUMMYFUNCTION("""COMPUTED_VALUE"""),"6")</f>
        <v>6</v>
      </c>
      <c r="H241" s="95" t="str">
        <f>IFERROR(__xludf.DUMMYFUNCTION("""COMPUTED_VALUE"""),"26052750481")</f>
        <v>26052750481</v>
      </c>
      <c r="I241" s="105" t="str">
        <f>IFERROR(__xludf.DUMMYFUNCTION("""COMPUTED_VALUE"""),"26/05/2026 14:30:52")</f>
        <v>26/05/2026 14:30:52</v>
      </c>
      <c r="J241" s="95" t="str">
        <f>IFERROR(__xludf.DUMMYFUNCTION("""COMPUTED_VALUE"""),"RHAVI VICTOR RIBEIRO DO NASCIMENTO")</f>
        <v>RHAVI VICTOR RIBEIRO DO NASCIMENTO</v>
      </c>
      <c r="K241" s="95" t="str">
        <f>IFERROR(__xludf.DUMMYFUNCTION("""COMPUTED_VALUE"""),"000.875.144-78")</f>
        <v>000.875.144-78</v>
      </c>
      <c r="L241" s="104" t="str">
        <f>IFERROR(__xludf.DUMMYFUNCTION("""COMPUTED_VALUE"""),"20/05/2023")</f>
        <v>20/05/2023</v>
      </c>
      <c r="M241" s="104"/>
      <c r="N241" s="95" t="str">
        <f>IFERROR(__xludf.DUMMYFUNCTION("""COMPUTED_VALUE"""),"0")</f>
        <v>0</v>
      </c>
      <c r="O241" s="95"/>
      <c r="P241" s="95"/>
      <c r="Q241" s="95"/>
      <c r="R241" s="95"/>
      <c r="S241" s="95"/>
      <c r="T241" s="95"/>
      <c r="U241" s="95"/>
      <c r="V241" s="95"/>
      <c r="W241" s="95"/>
      <c r="X241" s="95"/>
      <c r="Y241" s="95"/>
      <c r="Z241" s="95"/>
      <c r="AA241" s="95"/>
      <c r="AB241" s="95"/>
      <c r="AC241" s="95"/>
    </row>
    <row r="242" ht="15.75" customHeight="1" spans="1:29">
      <c r="A242" s="95"/>
      <c r="B242" s="95" t="str">
        <f>VLOOKUP(C242,lista_id!$D$2:$F$152,3,0)</f>
        <v>REGIONAL 1</v>
      </c>
      <c r="C242" s="102" t="str">
        <f>IFERROR(__xludf.DUMMYFUNCTION("""COMPUTED_VALUE"""),"CRECHE CIRANDA CIRANDINHA")</f>
        <v>CRECHE CIRANDA CIRANDINHA</v>
      </c>
      <c r="D242" s="95" t="str">
        <f>IFERROR(__xludf.DUMMYFUNCTION("""COMPUTED_VALUE"""),"INFANTIL 3")</f>
        <v>INFANTIL 3</v>
      </c>
      <c r="E242" s="95" t="str">
        <f>IFERROR(__xludf.DUMMYFUNCTION("""COMPUTED_VALUE"""),"Integral")</f>
        <v>Integral</v>
      </c>
      <c r="F242" s="95" t="str">
        <f>IFERROR(__xludf.DUMMYFUNCTION("""COMPUTED_VALUE"""),"Comum")</f>
        <v>Comum</v>
      </c>
      <c r="G242" s="95" t="str">
        <f>IFERROR(__xludf.DUMMYFUNCTION("""COMPUTED_VALUE"""),"1")</f>
        <v>1</v>
      </c>
      <c r="H242" s="95" t="str">
        <f>IFERROR(__xludf.DUMMYFUNCTION("""COMPUTED_VALUE"""),"26012252376")</f>
        <v>26012252376</v>
      </c>
      <c r="I242" s="105" t="str">
        <f>IFERROR(__xludf.DUMMYFUNCTION("""COMPUTED_VALUE"""),"28/01/2026 08:23:25")</f>
        <v>28/01/2026 08:23:25</v>
      </c>
      <c r="J242" s="95" t="str">
        <f>IFERROR(__xludf.DUMMYFUNCTION("""COMPUTED_VALUE"""),"LUCAS MIGUEL DA SILVA NOBRE")</f>
        <v>LUCAS MIGUEL DA SILVA NOBRE</v>
      </c>
      <c r="K242" s="95" t="str">
        <f>IFERROR(__xludf.DUMMYFUNCTION("""COMPUTED_VALUE"""),"184.637.614-96")</f>
        <v>184.637.614-96</v>
      </c>
      <c r="L242" s="104" t="str">
        <f>IFERROR(__xludf.DUMMYFUNCTION("""COMPUTED_VALUE"""),"18/02/2023")</f>
        <v>18/02/2023</v>
      </c>
      <c r="M242" s="104"/>
      <c r="N242" s="95" t="str">
        <f>IFERROR(__xludf.DUMMYFUNCTION("""COMPUTED_VALUE"""),"0")</f>
        <v>0</v>
      </c>
      <c r="O242" s="95"/>
      <c r="P242" s="95"/>
      <c r="Q242" s="95"/>
      <c r="R242" s="95"/>
      <c r="S242" s="95"/>
      <c r="T242" s="95"/>
      <c r="U242" s="95"/>
      <c r="V242" s="95"/>
      <c r="W242" s="95"/>
      <c r="X242" s="95"/>
      <c r="Y242" s="95"/>
      <c r="Z242" s="95"/>
      <c r="AA242" s="95"/>
      <c r="AB242" s="95"/>
      <c r="AC242" s="95"/>
    </row>
    <row r="243" ht="15.75" customHeight="1" spans="1:29">
      <c r="A243" s="95"/>
      <c r="B243" s="95" t="str">
        <f>VLOOKUP(C243,lista_id!$D$2:$F$152,3,0)</f>
        <v>REGIONAL 1</v>
      </c>
      <c r="C243" s="102" t="str">
        <f>IFERROR(__xludf.DUMMYFUNCTION("""COMPUTED_VALUE"""),"CRECHE CIRANDA CIRANDINHA")</f>
        <v>CRECHE CIRANDA CIRANDINHA</v>
      </c>
      <c r="D243" s="95" t="str">
        <f>IFERROR(__xludf.DUMMYFUNCTION("""COMPUTED_VALUE"""),"INFANTIL 3")</f>
        <v>INFANTIL 3</v>
      </c>
      <c r="E243" s="95" t="str">
        <f>IFERROR(__xludf.DUMMYFUNCTION("""COMPUTED_VALUE"""),"Integral")</f>
        <v>Integral</v>
      </c>
      <c r="F243" s="95" t="str">
        <f>IFERROR(__xludf.DUMMYFUNCTION("""COMPUTED_VALUE"""),"Comum")</f>
        <v>Comum</v>
      </c>
      <c r="G243" s="95" t="str">
        <f>IFERROR(__xludf.DUMMYFUNCTION("""COMPUTED_VALUE"""),"2")</f>
        <v>2</v>
      </c>
      <c r="H243" s="95" t="str">
        <f>IFERROR(__xludf.DUMMYFUNCTION("""COMPUTED_VALUE"""),"26012946145")</f>
        <v>26012946145</v>
      </c>
      <c r="I243" s="105" t="str">
        <f>IFERROR(__xludf.DUMMYFUNCTION("""COMPUTED_VALUE"""),"30/01/2026 09:24:54")</f>
        <v>30/01/2026 09:24:54</v>
      </c>
      <c r="J243" s="95" t="str">
        <f>IFERROR(__xludf.DUMMYFUNCTION("""COMPUTED_VALUE"""),"KAMYLY VALÉRIA MARTINS DOS SANTOS")</f>
        <v>KAMYLY VALÉRIA MARTINS DOS SANTOS</v>
      </c>
      <c r="K243" s="95" t="str">
        <f>IFERROR(__xludf.DUMMYFUNCTION("""COMPUTED_VALUE"""),"182.750.634-26")</f>
        <v>182.750.634-26</v>
      </c>
      <c r="L243" s="104" t="str">
        <f>IFERROR(__xludf.DUMMYFUNCTION("""COMPUTED_VALUE"""),"27/06/2022")</f>
        <v>27/06/2022</v>
      </c>
      <c r="M243" s="104"/>
      <c r="N243" s="95" t="str">
        <f>IFERROR(__xludf.DUMMYFUNCTION("""COMPUTED_VALUE"""),"0")</f>
        <v>0</v>
      </c>
      <c r="O243" s="95"/>
      <c r="P243" s="95"/>
      <c r="Q243" s="95"/>
      <c r="R243" s="95"/>
      <c r="S243" s="95"/>
      <c r="T243" s="95"/>
      <c r="U243" s="95"/>
      <c r="V243" s="95"/>
      <c r="W243" s="95"/>
      <c r="X243" s="95"/>
      <c r="Y243" s="95"/>
      <c r="Z243" s="95"/>
      <c r="AA243" s="95"/>
      <c r="AB243" s="95"/>
      <c r="AC243" s="95"/>
    </row>
    <row r="244" ht="15.75" customHeight="1" spans="1:29">
      <c r="A244" s="95"/>
      <c r="B244" s="95" t="str">
        <f>VLOOKUP(C244,lista_id!$D$2:$F$152,3,0)</f>
        <v>REGIONAL 1</v>
      </c>
      <c r="C244" s="102" t="str">
        <f>IFERROR(__xludf.DUMMYFUNCTION("""COMPUTED_VALUE"""),"CRECHE CIRANDA CIRANDINHA")</f>
        <v>CRECHE CIRANDA CIRANDINHA</v>
      </c>
      <c r="D244" s="95" t="str">
        <f>IFERROR(__xludf.DUMMYFUNCTION("""COMPUTED_VALUE"""),"INFANTIL 3")</f>
        <v>INFANTIL 3</v>
      </c>
      <c r="E244" s="95" t="str">
        <f>IFERROR(__xludf.DUMMYFUNCTION("""COMPUTED_VALUE"""),"Integral")</f>
        <v>Integral</v>
      </c>
      <c r="F244" s="95" t="str">
        <f>IFERROR(__xludf.DUMMYFUNCTION("""COMPUTED_VALUE"""),"Comum")</f>
        <v>Comum</v>
      </c>
      <c r="G244" s="95" t="str">
        <f>IFERROR(__xludf.DUMMYFUNCTION("""COMPUTED_VALUE"""),"3")</f>
        <v>3</v>
      </c>
      <c r="H244" s="95" t="str">
        <f>IFERROR(__xludf.DUMMYFUNCTION("""COMPUTED_VALUE"""),"26022353658")</f>
        <v>26022353658</v>
      </c>
      <c r="I244" s="105" t="str">
        <f>IFERROR(__xludf.DUMMYFUNCTION("""COMPUTED_VALUE"""),"02/02/2026 11:47:44")</f>
        <v>02/02/2026 11:47:44</v>
      </c>
      <c r="J244" s="95" t="str">
        <f>IFERROR(__xludf.DUMMYFUNCTION("""COMPUTED_VALUE"""),"CLARICE HELOISE ALVES FERREIRA")</f>
        <v>CLARICE HELOISE ALVES FERREIRA</v>
      </c>
      <c r="K244" s="95" t="str">
        <f>IFERROR(__xludf.DUMMYFUNCTION("""COMPUTED_VALUE"""),"185.926.924-90")</f>
        <v>185.926.924-90</v>
      </c>
      <c r="L244" s="106" t="str">
        <f>IFERROR(__xludf.DUMMYFUNCTION("""COMPUTED_VALUE"""),"29/01/2023")</f>
        <v>29/01/2023</v>
      </c>
      <c r="M244" s="106"/>
      <c r="N244" s="95" t="str">
        <f>IFERROR(__xludf.DUMMYFUNCTION("""COMPUTED_VALUE"""),"0")</f>
        <v>0</v>
      </c>
      <c r="O244" s="95"/>
      <c r="P244" s="95"/>
      <c r="Q244" s="95"/>
      <c r="R244" s="95"/>
      <c r="S244" s="95"/>
      <c r="T244" s="95"/>
      <c r="U244" s="95"/>
      <c r="V244" s="95"/>
      <c r="W244" s="95"/>
      <c r="X244" s="95"/>
      <c r="Y244" s="95"/>
      <c r="Z244" s="95"/>
      <c r="AA244" s="95"/>
      <c r="AB244" s="95"/>
      <c r="AC244" s="95"/>
    </row>
    <row r="245" ht="15.75" customHeight="1" spans="1:29">
      <c r="A245" s="95"/>
      <c r="B245" s="95" t="str">
        <f>VLOOKUP(C245,lista_id!$D$2:$F$152,3,0)</f>
        <v>REGIONAL 1</v>
      </c>
      <c r="C245" s="102" t="str">
        <f>IFERROR(__xludf.DUMMYFUNCTION("""COMPUTED_VALUE"""),"CRECHE CIRANDA CIRANDINHA")</f>
        <v>CRECHE CIRANDA CIRANDINHA</v>
      </c>
      <c r="D245" s="95" t="str">
        <f>IFERROR(__xludf.DUMMYFUNCTION("""COMPUTED_VALUE"""),"INFANTIL 3")</f>
        <v>INFANTIL 3</v>
      </c>
      <c r="E245" s="95" t="str">
        <f>IFERROR(__xludf.DUMMYFUNCTION("""COMPUTED_VALUE"""),"Integral")</f>
        <v>Integral</v>
      </c>
      <c r="F245" s="95" t="str">
        <f>IFERROR(__xludf.DUMMYFUNCTION("""COMPUTED_VALUE"""),"Comum")</f>
        <v>Comum</v>
      </c>
      <c r="G245" s="95" t="str">
        <f>IFERROR(__xludf.DUMMYFUNCTION("""COMPUTED_VALUE"""),"4")</f>
        <v>4</v>
      </c>
      <c r="H245" s="95" t="str">
        <f>IFERROR(__xludf.DUMMYFUNCTION("""COMPUTED_VALUE"""),"26022035913")</f>
        <v>26022035913</v>
      </c>
      <c r="I245" s="105" t="str">
        <f>IFERROR(__xludf.DUMMYFUNCTION("""COMPUTED_VALUE"""),"09/02/2026 19:24:03")</f>
        <v>09/02/2026 19:24:03</v>
      </c>
      <c r="J245" s="95" t="str">
        <f>IFERROR(__xludf.DUMMYFUNCTION("""COMPUTED_VALUE"""),"THAYLLANE ALLANA OLIVEIRA SILVA")</f>
        <v>THAYLLANE ALLANA OLIVEIRA SILVA</v>
      </c>
      <c r="K245" s="95" t="str">
        <f>IFERROR(__xludf.DUMMYFUNCTION("""COMPUTED_VALUE"""),"184.525.014-12")</f>
        <v>184.525.014-12</v>
      </c>
      <c r="L245" s="104" t="str">
        <f>IFERROR(__xludf.DUMMYFUNCTION("""COMPUTED_VALUE"""),"29/01/2023")</f>
        <v>29/01/2023</v>
      </c>
      <c r="M245" s="104"/>
      <c r="N245" s="95" t="str">
        <f>IFERROR(__xludf.DUMMYFUNCTION("""COMPUTED_VALUE"""),"0")</f>
        <v>0</v>
      </c>
      <c r="O245" s="95"/>
      <c r="P245" s="95"/>
      <c r="Q245" s="95"/>
      <c r="R245" s="95"/>
      <c r="S245" s="95"/>
      <c r="T245" s="95"/>
      <c r="U245" s="95"/>
      <c r="V245" s="95"/>
      <c r="W245" s="95"/>
      <c r="X245" s="95"/>
      <c r="Y245" s="95"/>
      <c r="Z245" s="95"/>
      <c r="AA245" s="95"/>
      <c r="AB245" s="95"/>
      <c r="AC245" s="95"/>
    </row>
    <row r="246" ht="15.75" customHeight="1" spans="1:29">
      <c r="A246" s="95"/>
      <c r="B246" s="95" t="str">
        <f>VLOOKUP(C246,lista_id!$D$2:$F$152,3,0)</f>
        <v>REGIONAL 1</v>
      </c>
      <c r="C246" s="102" t="str">
        <f>IFERROR(__xludf.DUMMYFUNCTION("""COMPUTED_VALUE"""),"CRECHE CIRANDA CIRANDINHA")</f>
        <v>CRECHE CIRANDA CIRANDINHA</v>
      </c>
      <c r="D246" s="95" t="str">
        <f>IFERROR(__xludf.DUMMYFUNCTION("""COMPUTED_VALUE"""),"INFANTIL 3")</f>
        <v>INFANTIL 3</v>
      </c>
      <c r="E246" s="95" t="str">
        <f>IFERROR(__xludf.DUMMYFUNCTION("""COMPUTED_VALUE"""),"Integral")</f>
        <v>Integral</v>
      </c>
      <c r="F246" s="95" t="str">
        <f>IFERROR(__xludf.DUMMYFUNCTION("""COMPUTED_VALUE"""),"Comum")</f>
        <v>Comum</v>
      </c>
      <c r="G246" s="95" t="str">
        <f>IFERROR(__xludf.DUMMYFUNCTION("""COMPUTED_VALUE"""),"5")</f>
        <v>5</v>
      </c>
      <c r="H246" s="95" t="str">
        <f>IFERROR(__xludf.DUMMYFUNCTION("""COMPUTED_VALUE"""),"26022737699")</f>
        <v>26022737699</v>
      </c>
      <c r="I246" s="105" t="str">
        <f>IFERROR(__xludf.DUMMYFUNCTION("""COMPUTED_VALUE"""),"26/02/2026 23:38:28")</f>
        <v>26/02/2026 23:38:28</v>
      </c>
      <c r="J246" s="95" t="str">
        <f>IFERROR(__xludf.DUMMYFUNCTION("""COMPUTED_VALUE"""),"CALEFFI EPITACIO DOS SANTOS ROCHA")</f>
        <v>CALEFFI EPITACIO DOS SANTOS ROCHA</v>
      </c>
      <c r="K246" s="95" t="str">
        <f>IFERROR(__xludf.DUMMYFUNCTION("""COMPUTED_VALUE"""),"181.851.404-48")</f>
        <v>181.851.404-48</v>
      </c>
      <c r="L246" s="104" t="str">
        <f>IFERROR(__xludf.DUMMYFUNCTION("""COMPUTED_VALUE"""),"04/06/2022")</f>
        <v>04/06/2022</v>
      </c>
      <c r="M246" s="104"/>
      <c r="N246" s="95" t="str">
        <f>IFERROR(__xludf.DUMMYFUNCTION("""COMPUTED_VALUE"""),"0")</f>
        <v>0</v>
      </c>
      <c r="O246" s="95"/>
      <c r="P246" s="95"/>
      <c r="Q246" s="95"/>
      <c r="R246" s="95"/>
      <c r="S246" s="95"/>
      <c r="T246" s="95"/>
      <c r="U246" s="95"/>
      <c r="V246" s="95"/>
      <c r="W246" s="95"/>
      <c r="X246" s="95"/>
      <c r="Y246" s="95"/>
      <c r="Z246" s="95"/>
      <c r="AA246" s="95"/>
      <c r="AB246" s="95"/>
      <c r="AC246" s="95"/>
    </row>
    <row r="247" ht="15.75" customHeight="1" spans="1:29">
      <c r="A247" s="95"/>
      <c r="B247" s="95" t="str">
        <f>VLOOKUP(C247,lista_id!$D$2:$F$152,3,0)</f>
        <v>REGIONAL 1</v>
      </c>
      <c r="C247" s="102" t="str">
        <f>IFERROR(__xludf.DUMMYFUNCTION("""COMPUTED_VALUE"""),"CRECHE CIRANDA CIRANDINHA")</f>
        <v>CRECHE CIRANDA CIRANDINHA</v>
      </c>
      <c r="D247" s="95" t="str">
        <f>IFERROR(__xludf.DUMMYFUNCTION("""COMPUTED_VALUE"""),"INFANTIL 3")</f>
        <v>INFANTIL 3</v>
      </c>
      <c r="E247" s="95" t="str">
        <f>IFERROR(__xludf.DUMMYFUNCTION("""COMPUTED_VALUE"""),"Integral")</f>
        <v>Integral</v>
      </c>
      <c r="F247" s="95" t="str">
        <f>IFERROR(__xludf.DUMMYFUNCTION("""COMPUTED_VALUE"""),"Comum")</f>
        <v>Comum</v>
      </c>
      <c r="G247" s="95" t="str">
        <f>IFERROR(__xludf.DUMMYFUNCTION("""COMPUTED_VALUE"""),"6")</f>
        <v>6</v>
      </c>
      <c r="H247" s="95" t="str">
        <f>IFERROR(__xludf.DUMMYFUNCTION("""COMPUTED_VALUE"""),"26032705984")</f>
        <v>26032705984</v>
      </c>
      <c r="I247" s="105" t="str">
        <f>IFERROR(__xludf.DUMMYFUNCTION("""COMPUTED_VALUE"""),"24/03/2026 10:37:29")</f>
        <v>24/03/2026 10:37:29</v>
      </c>
      <c r="J247" s="95" t="str">
        <f>IFERROR(__xludf.DUMMYFUNCTION("""COMPUTED_VALUE"""),"RICARDO MATEUS SILVA CAVALCANTE FELIX")</f>
        <v>RICARDO MATEUS SILVA CAVALCANTE FELIX</v>
      </c>
      <c r="K247" s="95" t="str">
        <f>IFERROR(__xludf.DUMMYFUNCTION("""COMPUTED_VALUE"""),"182.595.494-17")</f>
        <v>182.595.494-17</v>
      </c>
      <c r="L247" s="104" t="str">
        <f>IFERROR(__xludf.DUMMYFUNCTION("""COMPUTED_VALUE"""),"20/08/2022")</f>
        <v>20/08/2022</v>
      </c>
      <c r="M247" s="104"/>
      <c r="N247" s="95" t="str">
        <f>IFERROR(__xludf.DUMMYFUNCTION("""COMPUTED_VALUE"""),"0")</f>
        <v>0</v>
      </c>
      <c r="O247" s="95"/>
      <c r="P247" s="95"/>
      <c r="Q247" s="95"/>
      <c r="R247" s="95"/>
      <c r="S247" s="95"/>
      <c r="T247" s="95"/>
      <c r="U247" s="95"/>
      <c r="V247" s="95"/>
      <c r="W247" s="95"/>
      <c r="X247" s="95"/>
      <c r="Y247" s="95"/>
      <c r="Z247" s="95"/>
      <c r="AA247" s="95"/>
      <c r="AB247" s="95"/>
      <c r="AC247" s="95"/>
    </row>
    <row r="248" ht="15.75" customHeight="1" spans="1:29">
      <c r="A248" s="95"/>
      <c r="B248" s="95" t="str">
        <f>VLOOKUP(C248,lista_id!$D$2:$F$152,3,0)</f>
        <v>REGIONAL 1</v>
      </c>
      <c r="C248" s="102" t="str">
        <f>IFERROR(__xludf.DUMMYFUNCTION("""COMPUTED_VALUE"""),"CRECHE CIRANDA CIRANDINHA")</f>
        <v>CRECHE CIRANDA CIRANDINHA</v>
      </c>
      <c r="D248" s="95" t="str">
        <f>IFERROR(__xludf.DUMMYFUNCTION("""COMPUTED_VALUE"""),"INFANTIL 3")</f>
        <v>INFANTIL 3</v>
      </c>
      <c r="E248" s="95" t="str">
        <f>IFERROR(__xludf.DUMMYFUNCTION("""COMPUTED_VALUE"""),"Integral")</f>
        <v>Integral</v>
      </c>
      <c r="F248" s="95" t="str">
        <f>IFERROR(__xludf.DUMMYFUNCTION("""COMPUTED_VALUE"""),"Comum")</f>
        <v>Comum</v>
      </c>
      <c r="G248" s="95" t="str">
        <f>IFERROR(__xludf.DUMMYFUNCTION("""COMPUTED_VALUE"""),"7")</f>
        <v>7</v>
      </c>
      <c r="H248" s="95" t="str">
        <f>IFERROR(__xludf.DUMMYFUNCTION("""COMPUTED_VALUE"""),"26042105285")</f>
        <v>26042105285</v>
      </c>
      <c r="I248" s="105" t="str">
        <f>IFERROR(__xludf.DUMMYFUNCTION("""COMPUTED_VALUE"""),"23/04/2026 12:52:15")</f>
        <v>23/04/2026 12:52:15</v>
      </c>
      <c r="J248" s="95" t="str">
        <f>IFERROR(__xludf.DUMMYFUNCTION("""COMPUTED_VALUE"""),"YKARO MIGUEL DA SILVA GONÇALVES")</f>
        <v>YKARO MIGUEL DA SILVA GONÇALVES</v>
      </c>
      <c r="K248" s="95" t="str">
        <f>IFERROR(__xludf.DUMMYFUNCTION("""COMPUTED_VALUE"""),"181.678.504-04")</f>
        <v>181.678.504-04</v>
      </c>
      <c r="L248" s="104" t="str">
        <f>IFERROR(__xludf.DUMMYFUNCTION("""COMPUTED_VALUE"""),"20/05/2022")</f>
        <v>20/05/2022</v>
      </c>
      <c r="M248" s="104"/>
      <c r="N248" s="95" t="str">
        <f>IFERROR(__xludf.DUMMYFUNCTION("""COMPUTED_VALUE"""),"0")</f>
        <v>0</v>
      </c>
      <c r="O248" s="95"/>
      <c r="P248" s="95"/>
      <c r="Q248" s="95"/>
      <c r="R248" s="95"/>
      <c r="S248" s="95"/>
      <c r="T248" s="95"/>
      <c r="U248" s="95"/>
      <c r="V248" s="95"/>
      <c r="W248" s="95"/>
      <c r="X248" s="95"/>
      <c r="Y248" s="95"/>
      <c r="Z248" s="95"/>
      <c r="AA248" s="95"/>
      <c r="AB248" s="95"/>
      <c r="AC248" s="95"/>
    </row>
    <row r="249" ht="15.75" customHeight="1" spans="1:29">
      <c r="A249" s="95"/>
      <c r="B249" s="95" t="str">
        <f>VLOOKUP(C249,lista_id!$D$2:$F$152,3,0)</f>
        <v>REGIONAL 6</v>
      </c>
      <c r="C249" s="102" t="str">
        <f>IFERROR(__xludf.DUMMYFUNCTION("""COMPUTED_VALUE"""),"CRECHE MERCIA DE ALBUQUERQUE")</f>
        <v>CRECHE MERCIA DE ALBUQUERQUE</v>
      </c>
      <c r="D249" s="95" t="str">
        <f>IFERROR(__xludf.DUMMYFUNCTION("""COMPUTED_VALUE"""),"INFANTIL 1")</f>
        <v>INFANTIL 1</v>
      </c>
      <c r="E249" s="95" t="str">
        <f>IFERROR(__xludf.DUMMYFUNCTION("""COMPUTED_VALUE"""),"Integral")</f>
        <v>Integral</v>
      </c>
      <c r="F249" s="95" t="str">
        <f>IFERROR(__xludf.DUMMYFUNCTION("""COMPUTED_VALUE"""),"Comum")</f>
        <v>Comum</v>
      </c>
      <c r="G249" s="95" t="str">
        <f>IFERROR(__xludf.DUMMYFUNCTION("""COMPUTED_VALUE"""),"1")</f>
        <v>1</v>
      </c>
      <c r="H249" s="95" t="str">
        <f>IFERROR(__xludf.DUMMYFUNCTION("""COMPUTED_VALUE"""),"26032116784")</f>
        <v>26032116784</v>
      </c>
      <c r="I249" s="105" t="str">
        <f>IFERROR(__xludf.DUMMYFUNCTION("""COMPUTED_VALUE"""),"26/03/2026 13:48:28")</f>
        <v>26/03/2026 13:48:28</v>
      </c>
      <c r="J249" s="95" t="str">
        <f>IFERROR(__xludf.DUMMYFUNCTION("""COMPUTED_VALUE"""),"RAVI SOARES JUSTINO")</f>
        <v>RAVI SOARES JUSTINO</v>
      </c>
      <c r="K249" s="95" t="str">
        <f>IFERROR(__xludf.DUMMYFUNCTION("""COMPUTED_VALUE"""),"005.331.324-01")</f>
        <v>005.331.324-01</v>
      </c>
      <c r="L249" s="104" t="str">
        <f>IFERROR(__xludf.DUMMYFUNCTION("""COMPUTED_VALUE"""),"07/02/2025")</f>
        <v>07/02/2025</v>
      </c>
      <c r="M249" s="104"/>
      <c r="N249" s="95" t="str">
        <f>IFERROR(__xludf.DUMMYFUNCTION("""COMPUTED_VALUE"""),"0")</f>
        <v>0</v>
      </c>
      <c r="O249" s="95"/>
      <c r="P249" s="95"/>
      <c r="Q249" s="95"/>
      <c r="R249" s="95"/>
      <c r="S249" s="95"/>
      <c r="T249" s="95"/>
      <c r="U249" s="95"/>
      <c r="V249" s="95"/>
      <c r="W249" s="95"/>
      <c r="X249" s="95"/>
      <c r="Y249" s="95"/>
      <c r="Z249" s="95"/>
      <c r="AA249" s="95"/>
      <c r="AB249" s="95"/>
      <c r="AC249" s="95"/>
    </row>
    <row r="250" ht="15.75" customHeight="1" spans="1:29">
      <c r="A250" s="95"/>
      <c r="B250" s="95" t="str">
        <f>VLOOKUP(C250,lista_id!$D$2:$F$152,3,0)</f>
        <v>REGIONAL 6</v>
      </c>
      <c r="C250" s="102" t="str">
        <f>IFERROR(__xludf.DUMMYFUNCTION("""COMPUTED_VALUE"""),"CRECHE MERCIA DE ALBUQUERQUE")</f>
        <v>CRECHE MERCIA DE ALBUQUERQUE</v>
      </c>
      <c r="D250" s="95" t="str">
        <f>IFERROR(__xludf.DUMMYFUNCTION("""COMPUTED_VALUE"""),"INFANTIL 1")</f>
        <v>INFANTIL 1</v>
      </c>
      <c r="E250" s="95" t="str">
        <f>IFERROR(__xludf.DUMMYFUNCTION("""COMPUTED_VALUE"""),"Integral")</f>
        <v>Integral</v>
      </c>
      <c r="F250" s="95" t="str">
        <f>IFERROR(__xludf.DUMMYFUNCTION("""COMPUTED_VALUE"""),"Comum")</f>
        <v>Comum</v>
      </c>
      <c r="G250" s="95" t="str">
        <f>IFERROR(__xludf.DUMMYFUNCTION("""COMPUTED_VALUE"""),"2")</f>
        <v>2</v>
      </c>
      <c r="H250" s="95" t="str">
        <f>IFERROR(__xludf.DUMMYFUNCTION("""COMPUTED_VALUE"""),"26042941559")</f>
        <v>26042941559</v>
      </c>
      <c r="I250" s="105" t="str">
        <f>IFERROR(__xludf.DUMMYFUNCTION("""COMPUTED_VALUE"""),"08/04/2026 10:22:51")</f>
        <v>08/04/2026 10:22:51</v>
      </c>
      <c r="J250" s="95" t="str">
        <f>IFERROR(__xludf.DUMMYFUNCTION("""COMPUTED_VALUE"""),"AQUILES ALEXANDRE RODRIGUES DA SILVA")</f>
        <v>AQUILES ALEXANDRE RODRIGUES DA SILVA</v>
      </c>
      <c r="K250" s="95" t="str">
        <f>IFERROR(__xludf.DUMMYFUNCTION("""COMPUTED_VALUE"""),"006.893.874-82")</f>
        <v>006.893.874-82</v>
      </c>
      <c r="L250" s="106" t="str">
        <f>IFERROR(__xludf.DUMMYFUNCTION("""COMPUTED_VALUE"""),"29/07/2025")</f>
        <v>29/07/2025</v>
      </c>
      <c r="M250" s="106"/>
      <c r="N250" s="95" t="str">
        <f>IFERROR(__xludf.DUMMYFUNCTION("""COMPUTED_VALUE"""),"0")</f>
        <v>0</v>
      </c>
      <c r="O250" s="95"/>
      <c r="P250" s="95"/>
      <c r="Q250" s="95"/>
      <c r="R250" s="95"/>
      <c r="S250" s="95"/>
      <c r="T250" s="95"/>
      <c r="U250" s="95"/>
      <c r="V250" s="95"/>
      <c r="W250" s="95"/>
      <c r="X250" s="95"/>
      <c r="Y250" s="95"/>
      <c r="Z250" s="95"/>
      <c r="AA250" s="95"/>
      <c r="AB250" s="95"/>
      <c r="AC250" s="95"/>
    </row>
    <row r="251" ht="15.75" customHeight="1" spans="1:29">
      <c r="A251" s="95"/>
      <c r="B251" s="95" t="str">
        <f>VLOOKUP(C251,lista_id!$D$2:$F$152,3,0)</f>
        <v>REGIONAL 6</v>
      </c>
      <c r="C251" s="102" t="str">
        <f>IFERROR(__xludf.DUMMYFUNCTION("""COMPUTED_VALUE"""),"CRECHE MERCIA DE ALBUQUERQUE")</f>
        <v>CRECHE MERCIA DE ALBUQUERQUE</v>
      </c>
      <c r="D251" s="95" t="str">
        <f>IFERROR(__xludf.DUMMYFUNCTION("""COMPUTED_VALUE"""),"INFANTIL 1")</f>
        <v>INFANTIL 1</v>
      </c>
      <c r="E251" s="95" t="str">
        <f>IFERROR(__xludf.DUMMYFUNCTION("""COMPUTED_VALUE"""),"Integral")</f>
        <v>Integral</v>
      </c>
      <c r="F251" s="95" t="str">
        <f>IFERROR(__xludf.DUMMYFUNCTION("""COMPUTED_VALUE"""),"Comum")</f>
        <v>Comum</v>
      </c>
      <c r="G251" s="95" t="str">
        <f>IFERROR(__xludf.DUMMYFUNCTION("""COMPUTED_VALUE"""),"3")</f>
        <v>3</v>
      </c>
      <c r="H251" s="95" t="str">
        <f>IFERROR(__xludf.DUMMYFUNCTION("""COMPUTED_VALUE"""),"26042875517")</f>
        <v>26042875517</v>
      </c>
      <c r="I251" s="105" t="str">
        <f>IFERROR(__xludf.DUMMYFUNCTION("""COMPUTED_VALUE"""),"11/04/2026 18:35:35")</f>
        <v>11/04/2026 18:35:35</v>
      </c>
      <c r="J251" s="95" t="str">
        <f>IFERROR(__xludf.DUMMYFUNCTION("""COMPUTED_VALUE"""),"ESTHER GABRIELY OLIVEIRA DA SILVA")</f>
        <v>ESTHER GABRIELY OLIVEIRA DA SILVA</v>
      </c>
      <c r="K251" s="95" t="str">
        <f>IFERROR(__xludf.DUMMYFUNCTION("""COMPUTED_VALUE"""),"713.786.274-82")</f>
        <v>713.786.274-82</v>
      </c>
      <c r="L251" s="104" t="str">
        <f>IFERROR(__xludf.DUMMYFUNCTION("""COMPUTED_VALUE"""),"24/08/2025")</f>
        <v>24/08/2025</v>
      </c>
      <c r="M251" s="104"/>
      <c r="N251" s="95" t="str">
        <f>IFERROR(__xludf.DUMMYFUNCTION("""COMPUTED_VALUE"""),"0")</f>
        <v>0</v>
      </c>
      <c r="O251" s="95"/>
      <c r="P251" s="95"/>
      <c r="Q251" s="95"/>
      <c r="R251" s="95"/>
      <c r="S251" s="95"/>
      <c r="T251" s="95"/>
      <c r="U251" s="95"/>
      <c r="V251" s="95"/>
      <c r="W251" s="95"/>
      <c r="X251" s="95"/>
      <c r="Y251" s="95"/>
      <c r="Z251" s="95"/>
      <c r="AA251" s="95"/>
      <c r="AB251" s="95"/>
      <c r="AC251" s="95"/>
    </row>
    <row r="252" ht="15.75" customHeight="1" spans="1:29">
      <c r="A252" s="95"/>
      <c r="B252" s="95" t="str">
        <f>VLOOKUP(C252,lista_id!$D$2:$F$152,3,0)</f>
        <v>REGIONAL 6</v>
      </c>
      <c r="C252" s="102" t="str">
        <f>IFERROR(__xludf.DUMMYFUNCTION("""COMPUTED_VALUE"""),"CRECHE MERCIA DE ALBUQUERQUE")</f>
        <v>CRECHE MERCIA DE ALBUQUERQUE</v>
      </c>
      <c r="D252" s="95" t="str">
        <f>IFERROR(__xludf.DUMMYFUNCTION("""COMPUTED_VALUE"""),"INFANTIL 1")</f>
        <v>INFANTIL 1</v>
      </c>
      <c r="E252" s="95" t="str">
        <f>IFERROR(__xludf.DUMMYFUNCTION("""COMPUTED_VALUE"""),"Integral")</f>
        <v>Integral</v>
      </c>
      <c r="F252" s="95" t="str">
        <f>IFERROR(__xludf.DUMMYFUNCTION("""COMPUTED_VALUE"""),"Comum")</f>
        <v>Comum</v>
      </c>
      <c r="G252" s="95" t="str">
        <f>IFERROR(__xludf.DUMMYFUNCTION("""COMPUTED_VALUE"""),"4")</f>
        <v>4</v>
      </c>
      <c r="H252" s="95" t="str">
        <f>IFERROR(__xludf.DUMMYFUNCTION("""COMPUTED_VALUE"""),"26042344110")</f>
        <v>26042344110</v>
      </c>
      <c r="I252" s="105" t="str">
        <f>IFERROR(__xludf.DUMMYFUNCTION("""COMPUTED_VALUE"""),"29/04/2026 15:30:17")</f>
        <v>29/04/2026 15:30:17</v>
      </c>
      <c r="J252" s="95" t="str">
        <f>IFERROR(__xludf.DUMMYFUNCTION("""COMPUTED_VALUE"""),"ABNER BENJAMIN VIEIRA DE ANDRADE")</f>
        <v>ABNER BENJAMIN VIEIRA DE ANDRADE</v>
      </c>
      <c r="K252" s="95" t="str">
        <f>IFERROR(__xludf.DUMMYFUNCTION("""COMPUTED_VALUE"""),"004.488.584-95")</f>
        <v>004.488.584-95</v>
      </c>
      <c r="L252" s="104" t="str">
        <f>IFERROR(__xludf.DUMMYFUNCTION("""COMPUTED_VALUE"""),"04/10/2024")</f>
        <v>04/10/2024</v>
      </c>
      <c r="M252" s="104"/>
      <c r="N252" s="95" t="str">
        <f>IFERROR(__xludf.DUMMYFUNCTION("""COMPUTED_VALUE"""),"0")</f>
        <v>0</v>
      </c>
      <c r="O252" s="95"/>
      <c r="P252" s="95"/>
      <c r="Q252" s="95"/>
      <c r="R252" s="95"/>
      <c r="S252" s="95"/>
      <c r="T252" s="95"/>
      <c r="U252" s="95"/>
      <c r="V252" s="95"/>
      <c r="W252" s="95"/>
      <c r="X252" s="95"/>
      <c r="Y252" s="95"/>
      <c r="Z252" s="95"/>
      <c r="AA252" s="95"/>
      <c r="AB252" s="95"/>
      <c r="AC252" s="95"/>
    </row>
    <row r="253" ht="15.75" customHeight="1" spans="1:29">
      <c r="A253" s="95"/>
      <c r="B253" s="95" t="str">
        <f>VLOOKUP(C253,lista_id!$D$2:$F$152,3,0)</f>
        <v>REGIONAL 6</v>
      </c>
      <c r="C253" s="102" t="str">
        <f>IFERROR(__xludf.DUMMYFUNCTION("""COMPUTED_VALUE"""),"CRECHE MERCIA DE ALBUQUERQUE")</f>
        <v>CRECHE MERCIA DE ALBUQUERQUE</v>
      </c>
      <c r="D253" s="95" t="str">
        <f>IFERROR(__xludf.DUMMYFUNCTION("""COMPUTED_VALUE"""),"INFANTIL 1")</f>
        <v>INFANTIL 1</v>
      </c>
      <c r="E253" s="95" t="str">
        <f>IFERROR(__xludf.DUMMYFUNCTION("""COMPUTED_VALUE"""),"Integral")</f>
        <v>Integral</v>
      </c>
      <c r="F253" s="95" t="str">
        <f>IFERROR(__xludf.DUMMYFUNCTION("""COMPUTED_VALUE"""),"Comum")</f>
        <v>Comum</v>
      </c>
      <c r="G253" s="95" t="str">
        <f>IFERROR(__xludf.DUMMYFUNCTION("""COMPUTED_VALUE"""),"5")</f>
        <v>5</v>
      </c>
      <c r="H253" s="95" t="str">
        <f>IFERROR(__xludf.DUMMYFUNCTION("""COMPUTED_VALUE"""),"26052004245")</f>
        <v>26052004245</v>
      </c>
      <c r="I253" s="105" t="str">
        <f>IFERROR(__xludf.DUMMYFUNCTION("""COMPUTED_VALUE"""),"04/05/2026 08:16:27")</f>
        <v>04/05/2026 08:16:27</v>
      </c>
      <c r="J253" s="95" t="str">
        <f>IFERROR(__xludf.DUMMYFUNCTION("""COMPUTED_VALUE"""),"KAIC CAINAN TOBIAS LEITE BOMFIM")</f>
        <v>KAIC CAINAN TOBIAS LEITE BOMFIM</v>
      </c>
      <c r="K253" s="95" t="str">
        <f>IFERROR(__xludf.DUMMYFUNCTION("""COMPUTED_VALUE"""),"003.941.314-44")</f>
        <v>003.941.314-44</v>
      </c>
      <c r="L253" s="104" t="str">
        <f>IFERROR(__xludf.DUMMYFUNCTION("""COMPUTED_VALUE"""),"24/08/2024")</f>
        <v>24/08/2024</v>
      </c>
      <c r="M253" s="104"/>
      <c r="N253" s="95" t="str">
        <f>IFERROR(__xludf.DUMMYFUNCTION("""COMPUTED_VALUE"""),"0")</f>
        <v>0</v>
      </c>
      <c r="O253" s="95"/>
      <c r="P253" s="95"/>
      <c r="Q253" s="95"/>
      <c r="R253" s="95"/>
      <c r="S253" s="95"/>
      <c r="T253" s="95"/>
      <c r="U253" s="95"/>
      <c r="V253" s="95"/>
      <c r="W253" s="95"/>
      <c r="X253" s="95"/>
      <c r="Y253" s="95"/>
      <c r="Z253" s="95"/>
      <c r="AA253" s="95"/>
      <c r="AB253" s="95"/>
      <c r="AC253" s="95"/>
    </row>
    <row r="254" ht="15.75" customHeight="1" spans="1:29">
      <c r="A254" s="95"/>
      <c r="B254" s="95" t="str">
        <f>VLOOKUP(C254,lista_id!$D$2:$F$152,3,0)</f>
        <v>REGIONAL 6</v>
      </c>
      <c r="C254" s="102" t="str">
        <f>IFERROR(__xludf.DUMMYFUNCTION("""COMPUTED_VALUE"""),"CRECHE MERCIA DE ALBUQUERQUE")</f>
        <v>CRECHE MERCIA DE ALBUQUERQUE</v>
      </c>
      <c r="D254" s="95" t="str">
        <f>IFERROR(__xludf.DUMMYFUNCTION("""COMPUTED_VALUE"""),"INFANTIL 1")</f>
        <v>INFANTIL 1</v>
      </c>
      <c r="E254" s="95" t="str">
        <f>IFERROR(__xludf.DUMMYFUNCTION("""COMPUTED_VALUE"""),"Integral")</f>
        <v>Integral</v>
      </c>
      <c r="F254" s="95" t="str">
        <f>IFERROR(__xludf.DUMMYFUNCTION("""COMPUTED_VALUE"""),"Comum")</f>
        <v>Comum</v>
      </c>
      <c r="G254" s="95" t="str">
        <f>IFERROR(__xludf.DUMMYFUNCTION("""COMPUTED_VALUE"""),"6")</f>
        <v>6</v>
      </c>
      <c r="H254" s="95" t="str">
        <f>IFERROR(__xludf.DUMMYFUNCTION("""COMPUTED_VALUE"""),"26052161645")</f>
        <v>26052161645</v>
      </c>
      <c r="I254" s="105" t="str">
        <f>IFERROR(__xludf.DUMMYFUNCTION("""COMPUTED_VALUE"""),"21/05/2026 14:53:13")</f>
        <v>21/05/2026 14:53:13</v>
      </c>
      <c r="J254" s="95" t="str">
        <f>IFERROR(__xludf.DUMMYFUNCTION("""COMPUTED_VALUE"""),"Erick Paes de Melo Ferreira")</f>
        <v>Erick Paes de Melo Ferreira</v>
      </c>
      <c r="K254" s="95" t="str">
        <f>IFERROR(__xludf.DUMMYFUNCTION("""COMPUTED_VALUE"""),"034.993.594-72")</f>
        <v>034.993.594-72</v>
      </c>
      <c r="L254" s="104" t="str">
        <f>IFERROR(__xludf.DUMMYFUNCTION("""COMPUTED_VALUE"""),"30/12/2025")</f>
        <v>30/12/2025</v>
      </c>
      <c r="M254" s="104"/>
      <c r="N254" s="95" t="str">
        <f>IFERROR(__xludf.DUMMYFUNCTION("""COMPUTED_VALUE"""),"0")</f>
        <v>0</v>
      </c>
      <c r="O254" s="95"/>
      <c r="P254" s="95"/>
      <c r="Q254" s="95"/>
      <c r="R254" s="95"/>
      <c r="S254" s="95"/>
      <c r="T254" s="95"/>
      <c r="U254" s="95"/>
      <c r="V254" s="95"/>
      <c r="W254" s="95"/>
      <c r="X254" s="95"/>
      <c r="Y254" s="95"/>
      <c r="Z254" s="95"/>
      <c r="AA254" s="95"/>
      <c r="AB254" s="95"/>
      <c r="AC254" s="95"/>
    </row>
    <row r="255" ht="15.75" customHeight="1" spans="1:29">
      <c r="A255" s="95"/>
      <c r="B255" s="95" t="str">
        <f>VLOOKUP(C255,lista_id!$D$2:$F$152,3,0)</f>
        <v>REGIONAL 6</v>
      </c>
      <c r="C255" s="102" t="str">
        <f>IFERROR(__xludf.DUMMYFUNCTION("""COMPUTED_VALUE"""),"CRECHE MERCIA DE ALBUQUERQUE")</f>
        <v>CRECHE MERCIA DE ALBUQUERQUE</v>
      </c>
      <c r="D255" s="95" t="str">
        <f>IFERROR(__xludf.DUMMYFUNCTION("""COMPUTED_VALUE"""),"INFANTIL 2")</f>
        <v>INFANTIL 2</v>
      </c>
      <c r="E255" s="95" t="str">
        <f>IFERROR(__xludf.DUMMYFUNCTION("""COMPUTED_VALUE"""),"Integral")</f>
        <v>Integral</v>
      </c>
      <c r="F255" s="95" t="str">
        <f>IFERROR(__xludf.DUMMYFUNCTION("""COMPUTED_VALUE"""),"Comum")</f>
        <v>Comum</v>
      </c>
      <c r="G255" s="95" t="str">
        <f>IFERROR(__xludf.DUMMYFUNCTION("""COMPUTED_VALUE"""),"1")</f>
        <v>1</v>
      </c>
      <c r="H255" s="95" t="str">
        <f>IFERROR(__xludf.DUMMYFUNCTION("""COMPUTED_VALUE"""),"26012899801")</f>
        <v>26012899801</v>
      </c>
      <c r="I255" s="105" t="str">
        <f>IFERROR(__xludf.DUMMYFUNCTION("""COMPUTED_VALUE"""),"30/01/2026 10:49:18")</f>
        <v>30/01/2026 10:49:18</v>
      </c>
      <c r="J255" s="95" t="str">
        <f>IFERROR(__xludf.DUMMYFUNCTION("""COMPUTED_VALUE"""),"ELIZABETH CAVALCANTI")</f>
        <v>ELIZABETH CAVALCANTI</v>
      </c>
      <c r="K255" s="95" t="str">
        <f>IFERROR(__xludf.DUMMYFUNCTION("""COMPUTED_VALUE"""),"002.874.654-62")</f>
        <v>002.874.654-62</v>
      </c>
      <c r="L255" s="104" t="str">
        <f>IFERROR(__xludf.DUMMYFUNCTION("""COMPUTED_VALUE"""),"25/09/2023")</f>
        <v>25/09/2023</v>
      </c>
      <c r="M255" s="104"/>
      <c r="N255" s="95" t="str">
        <f>IFERROR(__xludf.DUMMYFUNCTION("""COMPUTED_VALUE"""),"0")</f>
        <v>0</v>
      </c>
      <c r="O255" s="95"/>
      <c r="P255" s="95"/>
      <c r="Q255" s="95"/>
      <c r="R255" s="95"/>
      <c r="S255" s="95"/>
      <c r="T255" s="95"/>
      <c r="U255" s="95"/>
      <c r="V255" s="95"/>
      <c r="W255" s="95"/>
      <c r="X255" s="95"/>
      <c r="Y255" s="95"/>
      <c r="Z255" s="95"/>
      <c r="AA255" s="95"/>
      <c r="AB255" s="95"/>
      <c r="AC255" s="95"/>
    </row>
    <row r="256" ht="15.75" customHeight="1" spans="1:29">
      <c r="A256" s="95"/>
      <c r="B256" s="95" t="str">
        <f>VLOOKUP(C256,lista_id!$D$2:$F$152,3,0)</f>
        <v>REGIONAL 6</v>
      </c>
      <c r="C256" s="102" t="str">
        <f>IFERROR(__xludf.DUMMYFUNCTION("""COMPUTED_VALUE"""),"CRECHE MERCIA DE ALBUQUERQUE")</f>
        <v>CRECHE MERCIA DE ALBUQUERQUE</v>
      </c>
      <c r="D256" s="95" t="str">
        <f>IFERROR(__xludf.DUMMYFUNCTION("""COMPUTED_VALUE"""),"INFANTIL 2")</f>
        <v>INFANTIL 2</v>
      </c>
      <c r="E256" s="95" t="str">
        <f>IFERROR(__xludf.DUMMYFUNCTION("""COMPUTED_VALUE"""),"Integral")</f>
        <v>Integral</v>
      </c>
      <c r="F256" s="95" t="str">
        <f>IFERROR(__xludf.DUMMYFUNCTION("""COMPUTED_VALUE"""),"Comum")</f>
        <v>Comum</v>
      </c>
      <c r="G256" s="95" t="str">
        <f>IFERROR(__xludf.DUMMYFUNCTION("""COMPUTED_VALUE"""),"2")</f>
        <v>2</v>
      </c>
      <c r="H256" s="95" t="str">
        <f>IFERROR(__xludf.DUMMYFUNCTION("""COMPUTED_VALUE"""),"26032416028")</f>
        <v>26032416028</v>
      </c>
      <c r="I256" s="105" t="str">
        <f>IFERROR(__xludf.DUMMYFUNCTION("""COMPUTED_VALUE"""),"02/03/2026 15:50:23")</f>
        <v>02/03/2026 15:50:23</v>
      </c>
      <c r="J256" s="95" t="str">
        <f>IFERROR(__xludf.DUMMYFUNCTION("""COMPUTED_VALUE"""),"JOSÉ HENRIQUE DA SILVA FILHO")</f>
        <v>JOSÉ HENRIQUE DA SILVA FILHO</v>
      </c>
      <c r="K256" s="95" t="str">
        <f>IFERROR(__xludf.DUMMYFUNCTION("""COMPUTED_VALUE"""),"186.055.224-29")</f>
        <v>186.055.224-29</v>
      </c>
      <c r="L256" s="104" t="str">
        <f>IFERROR(__xludf.DUMMYFUNCTION("""COMPUTED_VALUE"""),"25/07/2023")</f>
        <v>25/07/2023</v>
      </c>
      <c r="M256" s="104"/>
      <c r="N256" s="95" t="str">
        <f>IFERROR(__xludf.DUMMYFUNCTION("""COMPUTED_VALUE"""),"0")</f>
        <v>0</v>
      </c>
      <c r="O256" s="95"/>
      <c r="P256" s="95"/>
      <c r="Q256" s="95"/>
      <c r="R256" s="95"/>
      <c r="S256" s="95"/>
      <c r="T256" s="95"/>
      <c r="U256" s="95"/>
      <c r="V256" s="95"/>
      <c r="W256" s="95"/>
      <c r="X256" s="95"/>
      <c r="Y256" s="95"/>
      <c r="Z256" s="95"/>
      <c r="AA256" s="95"/>
      <c r="AB256" s="95"/>
      <c r="AC256" s="95"/>
    </row>
    <row r="257" ht="15.75" customHeight="1" spans="1:29">
      <c r="A257" s="95"/>
      <c r="B257" s="95" t="str">
        <f>VLOOKUP(C257,lista_id!$D$2:$F$152,3,0)</f>
        <v>REGIONAL 6</v>
      </c>
      <c r="C257" s="102" t="str">
        <f>IFERROR(__xludf.DUMMYFUNCTION("""COMPUTED_VALUE"""),"CRECHE MERCIA DE ALBUQUERQUE")</f>
        <v>CRECHE MERCIA DE ALBUQUERQUE</v>
      </c>
      <c r="D257" s="95" t="str">
        <f>IFERROR(__xludf.DUMMYFUNCTION("""COMPUTED_VALUE"""),"INFANTIL 2")</f>
        <v>INFANTIL 2</v>
      </c>
      <c r="E257" s="95" t="str">
        <f>IFERROR(__xludf.DUMMYFUNCTION("""COMPUTED_VALUE"""),"Integral")</f>
        <v>Integral</v>
      </c>
      <c r="F257" s="95" t="str">
        <f>IFERROR(__xludf.DUMMYFUNCTION("""COMPUTED_VALUE"""),"Comum")</f>
        <v>Comum</v>
      </c>
      <c r="G257" s="95" t="str">
        <f>IFERROR(__xludf.DUMMYFUNCTION("""COMPUTED_VALUE"""),"3")</f>
        <v>3</v>
      </c>
      <c r="H257" s="95" t="str">
        <f>IFERROR(__xludf.DUMMYFUNCTION("""COMPUTED_VALUE"""),"26032388105")</f>
        <v>26032388105</v>
      </c>
      <c r="I257" s="105" t="str">
        <f>IFERROR(__xludf.DUMMYFUNCTION("""COMPUTED_VALUE"""),"11/03/2026 07:47:14")</f>
        <v>11/03/2026 07:47:14</v>
      </c>
      <c r="J257" s="95" t="str">
        <f>IFERROR(__xludf.DUMMYFUNCTION("""COMPUTED_VALUE"""),"THEO DAVI BARBOSA DA SILVA")</f>
        <v>THEO DAVI BARBOSA DA SILVA</v>
      </c>
      <c r="K257" s="95" t="str">
        <f>IFERROR(__xludf.DUMMYFUNCTION("""COMPUTED_VALUE"""),"000.011.754-40")</f>
        <v>000.011.754-40</v>
      </c>
      <c r="L257" s="104" t="str">
        <f>IFERROR(__xludf.DUMMYFUNCTION("""COMPUTED_VALUE"""),"22/09/2023")</f>
        <v>22/09/2023</v>
      </c>
      <c r="M257" s="104"/>
      <c r="N257" s="95" t="str">
        <f>IFERROR(__xludf.DUMMYFUNCTION("""COMPUTED_VALUE"""),"0")</f>
        <v>0</v>
      </c>
      <c r="O257" s="95"/>
      <c r="P257" s="95"/>
      <c r="Q257" s="95"/>
      <c r="R257" s="95"/>
      <c r="S257" s="95"/>
      <c r="T257" s="95"/>
      <c r="U257" s="95"/>
      <c r="V257" s="95"/>
      <c r="W257" s="95"/>
      <c r="X257" s="95"/>
      <c r="Y257" s="95"/>
      <c r="Z257" s="95"/>
      <c r="AA257" s="95"/>
      <c r="AB257" s="95"/>
      <c r="AC257" s="95"/>
    </row>
    <row r="258" ht="15.75" customHeight="1" spans="1:29">
      <c r="A258" s="95"/>
      <c r="B258" s="95" t="str">
        <f>VLOOKUP(C258,lista_id!$D$2:$F$152,3,0)</f>
        <v>REGIONAL 6</v>
      </c>
      <c r="C258" s="102" t="str">
        <f>IFERROR(__xludf.DUMMYFUNCTION("""COMPUTED_VALUE"""),"CRECHE MERCIA DE ALBUQUERQUE")</f>
        <v>CRECHE MERCIA DE ALBUQUERQUE</v>
      </c>
      <c r="D258" s="95" t="str">
        <f>IFERROR(__xludf.DUMMYFUNCTION("""COMPUTED_VALUE"""),"INFANTIL 2")</f>
        <v>INFANTIL 2</v>
      </c>
      <c r="E258" s="95" t="str">
        <f>IFERROR(__xludf.DUMMYFUNCTION("""COMPUTED_VALUE"""),"Integral")</f>
        <v>Integral</v>
      </c>
      <c r="F258" s="95" t="str">
        <f>IFERROR(__xludf.DUMMYFUNCTION("""COMPUTED_VALUE"""),"Comum")</f>
        <v>Comum</v>
      </c>
      <c r="G258" s="95" t="str">
        <f>IFERROR(__xludf.DUMMYFUNCTION("""COMPUTED_VALUE"""),"4")</f>
        <v>4</v>
      </c>
      <c r="H258" s="95" t="str">
        <f>IFERROR(__xludf.DUMMYFUNCTION("""COMPUTED_VALUE"""),"26032924004")</f>
        <v>26032924004</v>
      </c>
      <c r="I258" s="105" t="str">
        <f>IFERROR(__xludf.DUMMYFUNCTION("""COMPUTED_VALUE"""),"25/03/2026 13:04:37")</f>
        <v>25/03/2026 13:04:37</v>
      </c>
      <c r="J258" s="95" t="str">
        <f>IFERROR(__xludf.DUMMYFUNCTION("""COMPUTED_VALUE"""),"BERNARDO LEON SILVA DOS SANTOS")</f>
        <v>BERNARDO LEON SILVA DOS SANTOS</v>
      </c>
      <c r="K258" s="95" t="str">
        <f>IFERROR(__xludf.DUMMYFUNCTION("""COMPUTED_VALUE"""),"000.490.714-08")</f>
        <v>000.490.714-08</v>
      </c>
      <c r="L258" s="104" t="str">
        <f>IFERROR(__xludf.DUMMYFUNCTION("""COMPUTED_VALUE"""),"14/10/2023")</f>
        <v>14/10/2023</v>
      </c>
      <c r="M258" s="104"/>
      <c r="N258" s="95" t="str">
        <f>IFERROR(__xludf.DUMMYFUNCTION("""COMPUTED_VALUE"""),"0")</f>
        <v>0</v>
      </c>
      <c r="O258" s="95"/>
      <c r="P258" s="95"/>
      <c r="Q258" s="95"/>
      <c r="R258" s="95"/>
      <c r="S258" s="95"/>
      <c r="T258" s="95"/>
      <c r="U258" s="95"/>
      <c r="V258" s="95"/>
      <c r="W258" s="95"/>
      <c r="X258" s="95"/>
      <c r="Y258" s="95"/>
      <c r="Z258" s="95"/>
      <c r="AA258" s="95"/>
      <c r="AB258" s="95"/>
      <c r="AC258" s="95"/>
    </row>
    <row r="259" ht="15.75" customHeight="1" spans="1:29">
      <c r="A259" s="95"/>
      <c r="B259" s="95" t="str">
        <f>VLOOKUP(C259,lista_id!$D$2:$F$152,3,0)</f>
        <v>REGIONAL 3</v>
      </c>
      <c r="C259" s="102" t="str">
        <f>IFERROR(__xludf.DUMMYFUNCTION("""COMPUTED_VALUE"""),"CRECHE MUNDO ENCANTADO")</f>
        <v>CRECHE MUNDO ENCANTADO</v>
      </c>
      <c r="D259" s="95" t="str">
        <f>IFERROR(__xludf.DUMMYFUNCTION("""COMPUTED_VALUE"""),"INFANTIL 1")</f>
        <v>INFANTIL 1</v>
      </c>
      <c r="E259" s="95" t="str">
        <f>IFERROR(__xludf.DUMMYFUNCTION("""COMPUTED_VALUE"""),"Integral")</f>
        <v>Integral</v>
      </c>
      <c r="F259" s="95" t="str">
        <f>IFERROR(__xludf.DUMMYFUNCTION("""COMPUTED_VALUE"""),"Comum")</f>
        <v>Comum</v>
      </c>
      <c r="G259" s="95" t="str">
        <f>IFERROR(__xludf.DUMMYFUNCTION("""COMPUTED_VALUE"""),"1")</f>
        <v>1</v>
      </c>
      <c r="H259" s="95" t="str">
        <f>IFERROR(__xludf.DUMMYFUNCTION("""COMPUTED_VALUE"""),"26012920835")</f>
        <v>26012920835</v>
      </c>
      <c r="I259" s="105" t="str">
        <f>IFERROR(__xludf.DUMMYFUNCTION("""COMPUTED_VALUE"""),"29/01/2026 13:35:30")</f>
        <v>29/01/2026 13:35:30</v>
      </c>
      <c r="J259" s="95" t="str">
        <f>IFERROR(__xludf.DUMMYFUNCTION("""COMPUTED_VALUE"""),"JOÃO DAVI DOS SANTOS")</f>
        <v>JOÃO DAVI DOS SANTOS</v>
      </c>
      <c r="K259" s="95" t="str">
        <f>IFERROR(__xludf.DUMMYFUNCTION("""COMPUTED_VALUE"""),"003.980.624-39")</f>
        <v>003.980.624-39</v>
      </c>
      <c r="L259" s="104" t="str">
        <f>IFERROR(__xludf.DUMMYFUNCTION("""COMPUTED_VALUE"""),"26/08/2024")</f>
        <v>26/08/2024</v>
      </c>
      <c r="M259" s="104"/>
      <c r="N259" s="95" t="str">
        <f>IFERROR(__xludf.DUMMYFUNCTION("""COMPUTED_VALUE"""),"0")</f>
        <v>0</v>
      </c>
      <c r="O259" s="95"/>
      <c r="P259" s="95"/>
      <c r="Q259" s="95"/>
      <c r="R259" s="95"/>
      <c r="S259" s="95"/>
      <c r="T259" s="95"/>
      <c r="U259" s="95"/>
      <c r="V259" s="95"/>
      <c r="W259" s="95"/>
      <c r="X259" s="95"/>
      <c r="Y259" s="95"/>
      <c r="Z259" s="95"/>
      <c r="AA259" s="95"/>
      <c r="AB259" s="95"/>
      <c r="AC259" s="95"/>
    </row>
    <row r="260" ht="15.75" customHeight="1" spans="1:29">
      <c r="A260" s="95"/>
      <c r="B260" s="95" t="str">
        <f>VLOOKUP(C260,lista_id!$D$2:$F$152,3,0)</f>
        <v>REGIONAL 3</v>
      </c>
      <c r="C260" s="102" t="str">
        <f>IFERROR(__xludf.DUMMYFUNCTION("""COMPUTED_VALUE"""),"CRECHE MUNDO ENCANTADO")</f>
        <v>CRECHE MUNDO ENCANTADO</v>
      </c>
      <c r="D260" s="95" t="str">
        <f>IFERROR(__xludf.DUMMYFUNCTION("""COMPUTED_VALUE"""),"INFANTIL 1")</f>
        <v>INFANTIL 1</v>
      </c>
      <c r="E260" s="95" t="str">
        <f>IFERROR(__xludf.DUMMYFUNCTION("""COMPUTED_VALUE"""),"Integral")</f>
        <v>Integral</v>
      </c>
      <c r="F260" s="95" t="str">
        <f>IFERROR(__xludf.DUMMYFUNCTION("""COMPUTED_VALUE"""),"Comum")</f>
        <v>Comum</v>
      </c>
      <c r="G260" s="95" t="str">
        <f>IFERROR(__xludf.DUMMYFUNCTION("""COMPUTED_VALUE"""),"2")</f>
        <v>2</v>
      </c>
      <c r="H260" s="95" t="str">
        <f>IFERROR(__xludf.DUMMYFUNCTION("""COMPUTED_VALUE"""),"26012550956")</f>
        <v>26012550956</v>
      </c>
      <c r="I260" s="105" t="str">
        <f>IFERROR(__xludf.DUMMYFUNCTION("""COMPUTED_VALUE"""),"29/01/2026 14:12:29")</f>
        <v>29/01/2026 14:12:29</v>
      </c>
      <c r="J260" s="95" t="str">
        <f>IFERROR(__xludf.DUMMYFUNCTION("""COMPUTED_VALUE"""),"JOSÉ FLÁVIO BATISTA DA SILVA COSTA")</f>
        <v>JOSÉ FLÁVIO BATISTA DA SILVA COSTA</v>
      </c>
      <c r="K260" s="95" t="str">
        <f>IFERROR(__xludf.DUMMYFUNCTION("""COMPUTED_VALUE"""),"006.104.144-02")</f>
        <v>006.104.144-02</v>
      </c>
      <c r="L260" s="104" t="str">
        <f>IFERROR(__xludf.DUMMYFUNCTION("""COMPUTED_VALUE"""),"13/03/2025")</f>
        <v>13/03/2025</v>
      </c>
      <c r="M260" s="104"/>
      <c r="N260" s="95" t="str">
        <f>IFERROR(__xludf.DUMMYFUNCTION("""COMPUTED_VALUE"""),"0")</f>
        <v>0</v>
      </c>
      <c r="O260" s="95"/>
      <c r="P260" s="95"/>
      <c r="Q260" s="95"/>
      <c r="R260" s="95"/>
      <c r="S260" s="95"/>
      <c r="T260" s="95"/>
      <c r="U260" s="95"/>
      <c r="V260" s="95"/>
      <c r="W260" s="95"/>
      <c r="X260" s="95"/>
      <c r="Y260" s="95"/>
      <c r="Z260" s="95"/>
      <c r="AA260" s="95"/>
      <c r="AB260" s="95"/>
      <c r="AC260" s="95"/>
    </row>
    <row r="261" ht="15.75" customHeight="1" spans="1:29">
      <c r="A261" s="95"/>
      <c r="B261" s="95" t="str">
        <f>VLOOKUP(C261,lista_id!$D$2:$F$152,3,0)</f>
        <v>REGIONAL 3</v>
      </c>
      <c r="C261" s="102" t="str">
        <f>IFERROR(__xludf.DUMMYFUNCTION("""COMPUTED_VALUE"""),"CRECHE MUNDO ENCANTADO")</f>
        <v>CRECHE MUNDO ENCANTADO</v>
      </c>
      <c r="D261" s="95" t="str">
        <f>IFERROR(__xludf.DUMMYFUNCTION("""COMPUTED_VALUE"""),"INFANTIL 1")</f>
        <v>INFANTIL 1</v>
      </c>
      <c r="E261" s="95" t="str">
        <f>IFERROR(__xludf.DUMMYFUNCTION("""COMPUTED_VALUE"""),"Integral")</f>
        <v>Integral</v>
      </c>
      <c r="F261" s="95" t="str">
        <f>IFERROR(__xludf.DUMMYFUNCTION("""COMPUTED_VALUE"""),"Comum")</f>
        <v>Comum</v>
      </c>
      <c r="G261" s="95" t="str">
        <f>IFERROR(__xludf.DUMMYFUNCTION("""COMPUTED_VALUE"""),"3")</f>
        <v>3</v>
      </c>
      <c r="H261" s="95" t="str">
        <f>IFERROR(__xludf.DUMMYFUNCTION("""COMPUTED_VALUE"""),"26022017822")</f>
        <v>26022017822</v>
      </c>
      <c r="I261" s="105" t="str">
        <f>IFERROR(__xludf.DUMMYFUNCTION("""COMPUTED_VALUE"""),"19/02/2026 21:16:01")</f>
        <v>19/02/2026 21:16:01</v>
      </c>
      <c r="J261" s="95" t="str">
        <f>IFERROR(__xludf.DUMMYFUNCTION("""COMPUTED_VALUE"""),"HELENA AZEVEDO DA SILVA")</f>
        <v>HELENA AZEVEDO DA SILVA</v>
      </c>
      <c r="K261" s="95" t="str">
        <f>IFERROR(__xludf.DUMMYFUNCTION("""COMPUTED_VALUE"""),"003.112.504-24")</f>
        <v>003.112.504-24</v>
      </c>
      <c r="L261" s="104" t="str">
        <f>IFERROR(__xludf.DUMMYFUNCTION("""COMPUTED_VALUE"""),"19/05/2024")</f>
        <v>19/05/2024</v>
      </c>
      <c r="M261" s="104"/>
      <c r="N261" s="95" t="str">
        <f>IFERROR(__xludf.DUMMYFUNCTION("""COMPUTED_VALUE"""),"0")</f>
        <v>0</v>
      </c>
      <c r="O261" s="95"/>
      <c r="P261" s="95"/>
      <c r="Q261" s="95"/>
      <c r="R261" s="95"/>
      <c r="S261" s="95"/>
      <c r="T261" s="95"/>
      <c r="U261" s="95"/>
      <c r="V261" s="95"/>
      <c r="W261" s="95"/>
      <c r="X261" s="95"/>
      <c r="Y261" s="95"/>
      <c r="Z261" s="95"/>
      <c r="AA261" s="95"/>
      <c r="AB261" s="95"/>
      <c r="AC261" s="95"/>
    </row>
    <row r="262" ht="15.75" customHeight="1" spans="1:29">
      <c r="A262" s="95"/>
      <c r="B262" s="95" t="str">
        <f>VLOOKUP(C262,lista_id!$D$2:$F$152,3,0)</f>
        <v>REGIONAL 3</v>
      </c>
      <c r="C262" s="102" t="str">
        <f>IFERROR(__xludf.DUMMYFUNCTION("""COMPUTED_VALUE"""),"CRECHE MUNDO ENCANTADO")</f>
        <v>CRECHE MUNDO ENCANTADO</v>
      </c>
      <c r="D262" s="95" t="str">
        <f>IFERROR(__xludf.DUMMYFUNCTION("""COMPUTED_VALUE"""),"INFANTIL 1")</f>
        <v>INFANTIL 1</v>
      </c>
      <c r="E262" s="95" t="str">
        <f>IFERROR(__xludf.DUMMYFUNCTION("""COMPUTED_VALUE"""),"Integral")</f>
        <v>Integral</v>
      </c>
      <c r="F262" s="95" t="str">
        <f>IFERROR(__xludf.DUMMYFUNCTION("""COMPUTED_VALUE"""),"Comum")</f>
        <v>Comum</v>
      </c>
      <c r="G262" s="95" t="str">
        <f>IFERROR(__xludf.DUMMYFUNCTION("""COMPUTED_VALUE"""),"4")</f>
        <v>4</v>
      </c>
      <c r="H262" s="95" t="str">
        <f>IFERROR(__xludf.DUMMYFUNCTION("""COMPUTED_VALUE"""),"26022695426")</f>
        <v>26022695426</v>
      </c>
      <c r="I262" s="105" t="str">
        <f>IFERROR(__xludf.DUMMYFUNCTION("""COMPUTED_VALUE"""),"28/02/2026 20:58:43")</f>
        <v>28/02/2026 20:58:43</v>
      </c>
      <c r="J262" s="95" t="str">
        <f>IFERROR(__xludf.DUMMYFUNCTION("""COMPUTED_VALUE"""),"LAYANNE GOMES PAULINO DA SILVA")</f>
        <v>LAYANNE GOMES PAULINO DA SILVA</v>
      </c>
      <c r="K262" s="95" t="str">
        <f>IFERROR(__xludf.DUMMYFUNCTION("""COMPUTED_VALUE"""),"005.882.074-46")</f>
        <v>005.882.074-46</v>
      </c>
      <c r="L262" s="104" t="str">
        <f>IFERROR(__xludf.DUMMYFUNCTION("""COMPUTED_VALUE"""),"12/04/2025")</f>
        <v>12/04/2025</v>
      </c>
      <c r="M262" s="104"/>
      <c r="N262" s="95" t="str">
        <f>IFERROR(__xludf.DUMMYFUNCTION("""COMPUTED_VALUE"""),"0")</f>
        <v>0</v>
      </c>
      <c r="O262" s="95"/>
      <c r="P262" s="95"/>
      <c r="Q262" s="95"/>
      <c r="R262" s="95"/>
      <c r="S262" s="95"/>
      <c r="T262" s="95"/>
      <c r="U262" s="95"/>
      <c r="V262" s="95"/>
      <c r="W262" s="95"/>
      <c r="X262" s="95"/>
      <c r="Y262" s="95"/>
      <c r="Z262" s="95"/>
      <c r="AA262" s="95"/>
      <c r="AB262" s="95"/>
      <c r="AC262" s="95"/>
    </row>
    <row r="263" ht="15.75" customHeight="1" spans="1:29">
      <c r="A263" s="95"/>
      <c r="B263" s="95" t="str">
        <f>VLOOKUP(C263,lista_id!$D$2:$F$152,3,0)</f>
        <v>REGIONAL 3</v>
      </c>
      <c r="C263" s="102" t="str">
        <f>IFERROR(__xludf.DUMMYFUNCTION("""COMPUTED_VALUE"""),"CRECHE MUNDO ENCANTADO")</f>
        <v>CRECHE MUNDO ENCANTADO</v>
      </c>
      <c r="D263" s="95" t="str">
        <f>IFERROR(__xludf.DUMMYFUNCTION("""COMPUTED_VALUE"""),"INFANTIL 1")</f>
        <v>INFANTIL 1</v>
      </c>
      <c r="E263" s="95" t="str">
        <f>IFERROR(__xludf.DUMMYFUNCTION("""COMPUTED_VALUE"""),"Integral")</f>
        <v>Integral</v>
      </c>
      <c r="F263" s="95" t="str">
        <f>IFERROR(__xludf.DUMMYFUNCTION("""COMPUTED_VALUE"""),"Comum")</f>
        <v>Comum</v>
      </c>
      <c r="G263" s="95" t="str">
        <f>IFERROR(__xludf.DUMMYFUNCTION("""COMPUTED_VALUE"""),"5")</f>
        <v>5</v>
      </c>
      <c r="H263" s="95" t="str">
        <f>IFERROR(__xludf.DUMMYFUNCTION("""COMPUTED_VALUE"""),"26042652616")</f>
        <v>26042652616</v>
      </c>
      <c r="I263" s="105" t="str">
        <f>IFERROR(__xludf.DUMMYFUNCTION("""COMPUTED_VALUE"""),"28/04/2026 11:00:10")</f>
        <v>28/04/2026 11:00:10</v>
      </c>
      <c r="J263" s="95" t="str">
        <f>IFERROR(__xludf.DUMMYFUNCTION("""COMPUTED_VALUE"""),"MARINA GOMES SANTOS GUIMARAES")</f>
        <v>MARINA GOMES SANTOS GUIMARAES</v>
      </c>
      <c r="K263" s="95" t="str">
        <f>IFERROR(__xludf.DUMMYFUNCTION("""COMPUTED_VALUE"""),"005.894.784-19")</f>
        <v>005.894.784-19</v>
      </c>
      <c r="L263" s="106" t="str">
        <f>IFERROR(__xludf.DUMMYFUNCTION("""COMPUTED_VALUE"""),"11/04/2025")</f>
        <v>11/04/2025</v>
      </c>
      <c r="M263" s="104"/>
      <c r="N263" s="95" t="str">
        <f>IFERROR(__xludf.DUMMYFUNCTION("""COMPUTED_VALUE"""),"0")</f>
        <v>0</v>
      </c>
      <c r="O263" s="95"/>
      <c r="P263" s="95"/>
      <c r="Q263" s="95"/>
      <c r="R263" s="95"/>
      <c r="S263" s="95"/>
      <c r="T263" s="95"/>
      <c r="U263" s="95"/>
      <c r="V263" s="95"/>
      <c r="W263" s="95"/>
      <c r="X263" s="95"/>
      <c r="Y263" s="95"/>
      <c r="Z263" s="95"/>
      <c r="AA263" s="95"/>
      <c r="AB263" s="95"/>
      <c r="AC263" s="95"/>
    </row>
    <row r="264" ht="15.75" customHeight="1" spans="1:29">
      <c r="A264" s="95"/>
      <c r="B264" s="95" t="str">
        <f>VLOOKUP(C264,lista_id!$D$2:$F$152,3,0)</f>
        <v>REGIONAL 3</v>
      </c>
      <c r="C264" s="102" t="str">
        <f>IFERROR(__xludf.DUMMYFUNCTION("""COMPUTED_VALUE"""),"CRECHE MUNDO ENCANTADO")</f>
        <v>CRECHE MUNDO ENCANTADO</v>
      </c>
      <c r="D264" s="95" t="str">
        <f>IFERROR(__xludf.DUMMYFUNCTION("""COMPUTED_VALUE"""),"INFANTIL 1")</f>
        <v>INFANTIL 1</v>
      </c>
      <c r="E264" s="95" t="str">
        <f>IFERROR(__xludf.DUMMYFUNCTION("""COMPUTED_VALUE"""),"Integral")</f>
        <v>Integral</v>
      </c>
      <c r="F264" s="95" t="str">
        <f>IFERROR(__xludf.DUMMYFUNCTION("""COMPUTED_VALUE"""),"Comum")</f>
        <v>Comum</v>
      </c>
      <c r="G264" s="95" t="str">
        <f>IFERROR(__xludf.DUMMYFUNCTION("""COMPUTED_VALUE"""),"6")</f>
        <v>6</v>
      </c>
      <c r="H264" s="95" t="str">
        <f>IFERROR(__xludf.DUMMYFUNCTION("""COMPUTED_VALUE"""),"26052515836")</f>
        <v>26052515836</v>
      </c>
      <c r="I264" s="105" t="str">
        <f>IFERROR(__xludf.DUMMYFUNCTION("""COMPUTED_VALUE"""),"25/05/2026 18:39:15")</f>
        <v>25/05/2026 18:39:15</v>
      </c>
      <c r="J264" s="95" t="str">
        <f>IFERROR(__xludf.DUMMYFUNCTION("""COMPUTED_VALUE"""),"Mallu Yarin Rodrigues Macêdo Vaz")</f>
        <v>Mallu Yarin Rodrigues Macêdo Vaz</v>
      </c>
      <c r="K264" s="95" t="str">
        <f>IFERROR(__xludf.DUMMYFUNCTION("""COMPUTED_VALUE"""),"004.957.764-67")</f>
        <v>004.957.764-67</v>
      </c>
      <c r="L264" s="104" t="str">
        <f>IFERROR(__xludf.DUMMYFUNCTION("""COMPUTED_VALUE"""),"29/12/2024")</f>
        <v>29/12/2024</v>
      </c>
      <c r="M264" s="104"/>
      <c r="N264" s="95" t="str">
        <f>IFERROR(__xludf.DUMMYFUNCTION("""COMPUTED_VALUE"""),"0")</f>
        <v>0</v>
      </c>
      <c r="O264" s="95"/>
      <c r="P264" s="95"/>
      <c r="Q264" s="95"/>
      <c r="R264" s="95"/>
      <c r="S264" s="95"/>
      <c r="T264" s="95"/>
      <c r="U264" s="95"/>
      <c r="V264" s="95"/>
      <c r="W264" s="95"/>
      <c r="X264" s="95"/>
      <c r="Y264" s="95"/>
      <c r="Z264" s="95"/>
      <c r="AA264" s="95"/>
      <c r="AB264" s="95"/>
      <c r="AC264" s="95"/>
    </row>
    <row r="265" ht="15.75" customHeight="1" spans="1:29">
      <c r="A265" s="95"/>
      <c r="B265" s="95" t="str">
        <f>VLOOKUP(C265,lista_id!$D$2:$F$152,3,0)</f>
        <v>REGIONAL 3</v>
      </c>
      <c r="C265" s="102" t="str">
        <f>IFERROR(__xludf.DUMMYFUNCTION("""COMPUTED_VALUE"""),"CRECHE MUNDO ENCANTADO")</f>
        <v>CRECHE MUNDO ENCANTADO</v>
      </c>
      <c r="D265" s="95" t="str">
        <f>IFERROR(__xludf.DUMMYFUNCTION("""COMPUTED_VALUE"""),"INFANTIL 2")</f>
        <v>INFANTIL 2</v>
      </c>
      <c r="E265" s="95" t="str">
        <f>IFERROR(__xludf.DUMMYFUNCTION("""COMPUTED_VALUE"""),"Integral")</f>
        <v>Integral</v>
      </c>
      <c r="F265" s="95" t="str">
        <f>IFERROR(__xludf.DUMMYFUNCTION("""COMPUTED_VALUE"""),"Comum")</f>
        <v>Comum</v>
      </c>
      <c r="G265" s="95" t="str">
        <f>IFERROR(__xludf.DUMMYFUNCTION("""COMPUTED_VALUE"""),"1")</f>
        <v>1</v>
      </c>
      <c r="H265" s="95" t="str">
        <f>IFERROR(__xludf.DUMMYFUNCTION("""COMPUTED_VALUE"""),"26022937514")</f>
        <v>26022937514</v>
      </c>
      <c r="I265" s="105" t="str">
        <f>IFERROR(__xludf.DUMMYFUNCTION("""COMPUTED_VALUE"""),"04/02/2026 15:08:15")</f>
        <v>04/02/2026 15:08:15</v>
      </c>
      <c r="J265" s="95" t="str">
        <f>IFERROR(__xludf.DUMMYFUNCTION("""COMPUTED_VALUE"""),"DAVID LUIZ DOS SANTOS DO NASCIMENTO")</f>
        <v>DAVID LUIZ DOS SANTOS DO NASCIMENTO</v>
      </c>
      <c r="K265" s="95" t="str">
        <f>IFERROR(__xludf.DUMMYFUNCTION("""COMPUTED_VALUE"""),"000.295.444-32")</f>
        <v>000.295.444-32</v>
      </c>
      <c r="L265" s="104" t="str">
        <f>IFERROR(__xludf.DUMMYFUNCTION("""COMPUTED_VALUE"""),"27/09/2023")</f>
        <v>27/09/2023</v>
      </c>
      <c r="M265" s="104"/>
      <c r="N265" s="95" t="str">
        <f>IFERROR(__xludf.DUMMYFUNCTION("""COMPUTED_VALUE"""),"0")</f>
        <v>0</v>
      </c>
      <c r="O265" s="95"/>
      <c r="P265" s="95"/>
      <c r="Q265" s="95"/>
      <c r="R265" s="95"/>
      <c r="S265" s="95"/>
      <c r="T265" s="95"/>
      <c r="U265" s="95"/>
      <c r="V265" s="95"/>
      <c r="W265" s="95"/>
      <c r="X265" s="95"/>
      <c r="Y265" s="95"/>
      <c r="Z265" s="95"/>
      <c r="AA265" s="95"/>
      <c r="AB265" s="95"/>
      <c r="AC265" s="95"/>
    </row>
    <row r="266" ht="15.75" customHeight="1" spans="1:29">
      <c r="A266" s="95"/>
      <c r="B266" s="95" t="str">
        <f>VLOOKUP(C266,lista_id!$D$2:$F$152,3,0)</f>
        <v>REGIONAL 3</v>
      </c>
      <c r="C266" s="102" t="str">
        <f>IFERROR(__xludf.DUMMYFUNCTION("""COMPUTED_VALUE"""),"CRECHE MUNDO ENCANTADO")</f>
        <v>CRECHE MUNDO ENCANTADO</v>
      </c>
      <c r="D266" s="95" t="str">
        <f>IFERROR(__xludf.DUMMYFUNCTION("""COMPUTED_VALUE"""),"INFANTIL 2")</f>
        <v>INFANTIL 2</v>
      </c>
      <c r="E266" s="95" t="str">
        <f>IFERROR(__xludf.DUMMYFUNCTION("""COMPUTED_VALUE"""),"Integral")</f>
        <v>Integral</v>
      </c>
      <c r="F266" s="95" t="str">
        <f>IFERROR(__xludf.DUMMYFUNCTION("""COMPUTED_VALUE"""),"Comum")</f>
        <v>Comum</v>
      </c>
      <c r="G266" s="95" t="str">
        <f>IFERROR(__xludf.DUMMYFUNCTION("""COMPUTED_VALUE"""),"2")</f>
        <v>2</v>
      </c>
      <c r="H266" s="95" t="str">
        <f>IFERROR(__xludf.DUMMYFUNCTION("""COMPUTED_VALUE"""),"26022488673")</f>
        <v>26022488673</v>
      </c>
      <c r="I266" s="105" t="str">
        <f>IFERROR(__xludf.DUMMYFUNCTION("""COMPUTED_VALUE"""),"09/02/2026 08:21:31")</f>
        <v>09/02/2026 08:21:31</v>
      </c>
      <c r="J266" s="95" t="str">
        <f>IFERROR(__xludf.DUMMYFUNCTION("""COMPUTED_VALUE"""),"ANTHONY PIETRO CRUZ DE SOUZA")</f>
        <v>ANTHONY PIETRO CRUZ DE SOUZA</v>
      </c>
      <c r="K266" s="95" t="str">
        <f>IFERROR(__xludf.DUMMYFUNCTION("""COMPUTED_VALUE"""),"001.353.124-77")</f>
        <v>001.353.124-77</v>
      </c>
      <c r="L266" s="106" t="str">
        <f>IFERROR(__xludf.DUMMYFUNCTION("""COMPUTED_VALUE"""),"16/12/2023")</f>
        <v>16/12/2023</v>
      </c>
      <c r="M266" s="104"/>
      <c r="N266" s="95" t="str">
        <f>IFERROR(__xludf.DUMMYFUNCTION("""COMPUTED_VALUE"""),"0")</f>
        <v>0</v>
      </c>
      <c r="O266" s="95"/>
      <c r="P266" s="95"/>
      <c r="Q266" s="95"/>
      <c r="R266" s="95"/>
      <c r="S266" s="95"/>
      <c r="T266" s="95"/>
      <c r="U266" s="95"/>
      <c r="V266" s="95"/>
      <c r="W266" s="95"/>
      <c r="X266" s="95"/>
      <c r="Y266" s="95"/>
      <c r="Z266" s="95"/>
      <c r="AA266" s="95"/>
      <c r="AB266" s="95"/>
      <c r="AC266" s="95"/>
    </row>
    <row r="267" ht="15.75" customHeight="1" spans="1:29">
      <c r="A267" s="95"/>
      <c r="B267" s="95" t="str">
        <f>VLOOKUP(C267,lista_id!$D$2:$F$152,3,0)</f>
        <v>REGIONAL 3</v>
      </c>
      <c r="C267" s="102" t="str">
        <f>IFERROR(__xludf.DUMMYFUNCTION("""COMPUTED_VALUE"""),"CRECHE MUNDO ENCANTADO")</f>
        <v>CRECHE MUNDO ENCANTADO</v>
      </c>
      <c r="D267" s="95" t="str">
        <f>IFERROR(__xludf.DUMMYFUNCTION("""COMPUTED_VALUE"""),"INFANTIL 2")</f>
        <v>INFANTIL 2</v>
      </c>
      <c r="E267" s="95" t="str">
        <f>IFERROR(__xludf.DUMMYFUNCTION("""COMPUTED_VALUE"""),"Integral")</f>
        <v>Integral</v>
      </c>
      <c r="F267" s="95" t="str">
        <f>IFERROR(__xludf.DUMMYFUNCTION("""COMPUTED_VALUE"""),"Comum")</f>
        <v>Comum</v>
      </c>
      <c r="G267" s="95" t="str">
        <f>IFERROR(__xludf.DUMMYFUNCTION("""COMPUTED_VALUE"""),"3")</f>
        <v>3</v>
      </c>
      <c r="H267" s="95" t="str">
        <f>IFERROR(__xludf.DUMMYFUNCTION("""COMPUTED_VALUE"""),"26032269601")</f>
        <v>26032269601</v>
      </c>
      <c r="I267" s="105" t="str">
        <f>IFERROR(__xludf.DUMMYFUNCTION("""COMPUTED_VALUE"""),"04/03/2026 22:04:48")</f>
        <v>04/03/2026 22:04:48</v>
      </c>
      <c r="J267" s="95" t="str">
        <f>IFERROR(__xludf.DUMMYFUNCTION("""COMPUTED_VALUE"""),"JOÃO LUCCA PEREIRA DA SILVA")</f>
        <v>JOÃO LUCCA PEREIRA DA SILVA</v>
      </c>
      <c r="K267" s="95" t="str">
        <f>IFERROR(__xludf.DUMMYFUNCTION("""COMPUTED_VALUE"""),"001.366.394-10")</f>
        <v>001.366.394-10</v>
      </c>
      <c r="L267" s="104" t="str">
        <f>IFERROR(__xludf.DUMMYFUNCTION("""COMPUTED_VALUE"""),"19/12/2023")</f>
        <v>19/12/2023</v>
      </c>
      <c r="M267" s="104"/>
      <c r="N267" s="95" t="str">
        <f>IFERROR(__xludf.DUMMYFUNCTION("""COMPUTED_VALUE"""),"0")</f>
        <v>0</v>
      </c>
      <c r="O267" s="95"/>
      <c r="P267" s="95"/>
      <c r="Q267" s="95"/>
      <c r="R267" s="95"/>
      <c r="S267" s="95"/>
      <c r="T267" s="95"/>
      <c r="U267" s="95"/>
      <c r="V267" s="95"/>
      <c r="W267" s="95"/>
      <c r="X267" s="95"/>
      <c r="Y267" s="95"/>
      <c r="Z267" s="95"/>
      <c r="AA267" s="95"/>
      <c r="AB267" s="95"/>
      <c r="AC267" s="95"/>
    </row>
    <row r="268" ht="15.75" customHeight="1" spans="1:29">
      <c r="A268" s="95"/>
      <c r="B268" s="95" t="str">
        <f>VLOOKUP(C268,lista_id!$D$2:$F$152,3,0)</f>
        <v>REGIONAL 1</v>
      </c>
      <c r="C268" s="102" t="str">
        <f>IFERROR(__xludf.DUMMYFUNCTION("""COMPUTED_VALUE"""),"CRECHE MUNICIPAL PROFESSORA MARIA RITA LINS MARTINS")</f>
        <v>CRECHE MUNICIPAL PROFESSORA MARIA RITA LINS MARTINS</v>
      </c>
      <c r="D268" s="95" t="str">
        <f>IFERROR(__xludf.DUMMYFUNCTION("""COMPUTED_VALUE"""),"INFANTIL 1")</f>
        <v>INFANTIL 1</v>
      </c>
      <c r="E268" s="95" t="str">
        <f>IFERROR(__xludf.DUMMYFUNCTION("""COMPUTED_VALUE"""),"Integral")</f>
        <v>Integral</v>
      </c>
      <c r="F268" s="95" t="str">
        <f>IFERROR(__xludf.DUMMYFUNCTION("""COMPUTED_VALUE"""),"Comum")</f>
        <v>Comum</v>
      </c>
      <c r="G268" s="95" t="str">
        <f>IFERROR(__xludf.DUMMYFUNCTION("""COMPUTED_VALUE"""),"1")</f>
        <v>1</v>
      </c>
      <c r="H268" s="95" t="str">
        <f>IFERROR(__xludf.DUMMYFUNCTION("""COMPUTED_VALUE"""),"26022345856")</f>
        <v>26022345856</v>
      </c>
      <c r="I268" s="105" t="str">
        <f>IFERROR(__xludf.DUMMYFUNCTION("""COMPUTED_VALUE"""),"23/02/2026 09:25:20")</f>
        <v>23/02/2026 09:25:20</v>
      </c>
      <c r="J268" s="95" t="str">
        <f>IFERROR(__xludf.DUMMYFUNCTION("""COMPUTED_VALUE"""),"LARISSA ELOÁ CALIXTO DE OLIVEIRA")</f>
        <v>LARISSA ELOÁ CALIXTO DE OLIVEIRA</v>
      </c>
      <c r="K268" s="95" t="str">
        <f>IFERROR(__xludf.DUMMYFUNCTION("""COMPUTED_VALUE"""),"003.536.674-55")</f>
        <v>003.536.674-55</v>
      </c>
      <c r="L268" s="106" t="str">
        <f>IFERROR(__xludf.DUMMYFUNCTION("""COMPUTED_VALUE"""),"08/07/2024")</f>
        <v>08/07/2024</v>
      </c>
      <c r="M268" s="104"/>
      <c r="N268" s="95" t="str">
        <f>IFERROR(__xludf.DUMMYFUNCTION("""COMPUTED_VALUE"""),"0")</f>
        <v>0</v>
      </c>
      <c r="O268" s="95"/>
      <c r="P268" s="95"/>
      <c r="Q268" s="95"/>
      <c r="R268" s="95"/>
      <c r="S268" s="95"/>
      <c r="T268" s="95"/>
      <c r="U268" s="95"/>
      <c r="V268" s="95"/>
      <c r="W268" s="95"/>
      <c r="X268" s="95"/>
      <c r="Y268" s="95"/>
      <c r="Z268" s="95"/>
      <c r="AA268" s="95"/>
      <c r="AB268" s="95"/>
      <c r="AC268" s="95"/>
    </row>
    <row r="269" ht="15.75" customHeight="1" spans="1:29">
      <c r="A269" s="95"/>
      <c r="B269" s="95" t="str">
        <f>VLOOKUP(C269,lista_id!$D$2:$F$152,3,0)</f>
        <v>REGIONAL 1</v>
      </c>
      <c r="C269" s="102" t="str">
        <f>IFERROR(__xludf.DUMMYFUNCTION("""COMPUTED_VALUE"""),"CRECHE MUNICIPAL PROFESSORA MARIA RITA LINS MARTINS")</f>
        <v>CRECHE MUNICIPAL PROFESSORA MARIA RITA LINS MARTINS</v>
      </c>
      <c r="D269" s="95" t="str">
        <f>IFERROR(__xludf.DUMMYFUNCTION("""COMPUTED_VALUE"""),"INFANTIL 1")</f>
        <v>INFANTIL 1</v>
      </c>
      <c r="E269" s="95" t="str">
        <f>IFERROR(__xludf.DUMMYFUNCTION("""COMPUTED_VALUE"""),"Integral")</f>
        <v>Integral</v>
      </c>
      <c r="F269" s="95" t="str">
        <f>IFERROR(__xludf.DUMMYFUNCTION("""COMPUTED_VALUE"""),"Comum")</f>
        <v>Comum</v>
      </c>
      <c r="G269" s="95" t="str">
        <f>IFERROR(__xludf.DUMMYFUNCTION("""COMPUTED_VALUE"""),"2")</f>
        <v>2</v>
      </c>
      <c r="H269" s="95" t="str">
        <f>IFERROR(__xludf.DUMMYFUNCTION("""COMPUTED_VALUE"""),"26022410210")</f>
        <v>26022410210</v>
      </c>
      <c r="I269" s="105" t="str">
        <f>IFERROR(__xludf.DUMMYFUNCTION("""COMPUTED_VALUE"""),"23/02/2026 22:06:49")</f>
        <v>23/02/2026 22:06:49</v>
      </c>
      <c r="J269" s="95" t="str">
        <f>IFERROR(__xludf.DUMMYFUNCTION("""COMPUTED_VALUE"""),"BRYAN SAMUEL SANTANA DA SILVA")</f>
        <v>BRYAN SAMUEL SANTANA DA SILVA</v>
      </c>
      <c r="K269" s="95" t="str">
        <f>IFERROR(__xludf.DUMMYFUNCTION("""COMPUTED_VALUE"""),"004.324.334-73")</f>
        <v>004.324.334-73</v>
      </c>
      <c r="L269" s="104" t="str">
        <f>IFERROR(__xludf.DUMMYFUNCTION("""COMPUTED_VALUE"""),"13/09/2024")</f>
        <v>13/09/2024</v>
      </c>
      <c r="M269" s="104"/>
      <c r="N269" s="95" t="str">
        <f>IFERROR(__xludf.DUMMYFUNCTION("""COMPUTED_VALUE"""),"0")</f>
        <v>0</v>
      </c>
      <c r="O269" s="95"/>
      <c r="P269" s="95"/>
      <c r="Q269" s="95"/>
      <c r="R269" s="95"/>
      <c r="S269" s="95"/>
      <c r="T269" s="95"/>
      <c r="U269" s="95"/>
      <c r="V269" s="95"/>
      <c r="W269" s="95"/>
      <c r="X269" s="95"/>
      <c r="Y269" s="95"/>
      <c r="Z269" s="95"/>
      <c r="AA269" s="95"/>
      <c r="AB269" s="95"/>
      <c r="AC269" s="95"/>
    </row>
    <row r="270" ht="15.75" customHeight="1" spans="1:29">
      <c r="A270" s="95"/>
      <c r="B270" s="95" t="str">
        <f>VLOOKUP(C270,lista_id!$D$2:$F$152,3,0)</f>
        <v>REGIONAL 1</v>
      </c>
      <c r="C270" s="102" t="str">
        <f>IFERROR(__xludf.DUMMYFUNCTION("""COMPUTED_VALUE"""),"CRECHE MUNICIPAL PROFESSORA MARIA RITA LINS MARTINS")</f>
        <v>CRECHE MUNICIPAL PROFESSORA MARIA RITA LINS MARTINS</v>
      </c>
      <c r="D270" s="95" t="str">
        <f>IFERROR(__xludf.DUMMYFUNCTION("""COMPUTED_VALUE"""),"INFANTIL 1")</f>
        <v>INFANTIL 1</v>
      </c>
      <c r="E270" s="95" t="str">
        <f>IFERROR(__xludf.DUMMYFUNCTION("""COMPUTED_VALUE"""),"Integral")</f>
        <v>Integral</v>
      </c>
      <c r="F270" s="95" t="str">
        <f>IFERROR(__xludf.DUMMYFUNCTION("""COMPUTED_VALUE"""),"Comum")</f>
        <v>Comum</v>
      </c>
      <c r="G270" s="95" t="str">
        <f>IFERROR(__xludf.DUMMYFUNCTION("""COMPUTED_VALUE"""),"3")</f>
        <v>3</v>
      </c>
      <c r="H270" s="95" t="str">
        <f>IFERROR(__xludf.DUMMYFUNCTION("""COMPUTED_VALUE"""),"26022911987")</f>
        <v>26022911987</v>
      </c>
      <c r="I270" s="105" t="str">
        <f>IFERROR(__xludf.DUMMYFUNCTION("""COMPUTED_VALUE"""),"24/02/2026 10:47:32")</f>
        <v>24/02/2026 10:47:32</v>
      </c>
      <c r="J270" s="95" t="str">
        <f>IFERROR(__xludf.DUMMYFUNCTION("""COMPUTED_VALUE"""),"MARIA HELOÍSA DA SILVA MENEZES")</f>
        <v>MARIA HELOÍSA DA SILVA MENEZES</v>
      </c>
      <c r="K270" s="95" t="str">
        <f>IFERROR(__xludf.DUMMYFUNCTION("""COMPUTED_VALUE"""),"003.847.404-21")</f>
        <v>003.847.404-21</v>
      </c>
      <c r="L270" s="104" t="str">
        <f>IFERROR(__xludf.DUMMYFUNCTION("""COMPUTED_VALUE"""),"17/08/2024")</f>
        <v>17/08/2024</v>
      </c>
      <c r="M270" s="104"/>
      <c r="N270" s="95" t="str">
        <f>IFERROR(__xludf.DUMMYFUNCTION("""COMPUTED_VALUE"""),"0")</f>
        <v>0</v>
      </c>
      <c r="O270" s="95"/>
      <c r="P270" s="95"/>
      <c r="Q270" s="95"/>
      <c r="R270" s="95"/>
      <c r="S270" s="95"/>
      <c r="T270" s="95"/>
      <c r="U270" s="95"/>
      <c r="V270" s="95"/>
      <c r="W270" s="95"/>
      <c r="X270" s="95"/>
      <c r="Y270" s="95"/>
      <c r="Z270" s="95"/>
      <c r="AA270" s="95"/>
      <c r="AB270" s="95"/>
      <c r="AC270" s="95"/>
    </row>
    <row r="271" ht="15.75" customHeight="1" spans="1:29">
      <c r="A271" s="95"/>
      <c r="B271" s="95" t="str">
        <f>VLOOKUP(C271,lista_id!$D$2:$F$152,3,0)</f>
        <v>REGIONAL 1</v>
      </c>
      <c r="C271" s="102" t="str">
        <f>IFERROR(__xludf.DUMMYFUNCTION("""COMPUTED_VALUE"""),"CRECHE MUNICIPAL PROFESSORA MARIA RITA LINS MARTINS")</f>
        <v>CRECHE MUNICIPAL PROFESSORA MARIA RITA LINS MARTINS</v>
      </c>
      <c r="D271" s="95" t="str">
        <f>IFERROR(__xludf.DUMMYFUNCTION("""COMPUTED_VALUE"""),"INFANTIL 1")</f>
        <v>INFANTIL 1</v>
      </c>
      <c r="E271" s="95" t="str">
        <f>IFERROR(__xludf.DUMMYFUNCTION("""COMPUTED_VALUE"""),"Integral")</f>
        <v>Integral</v>
      </c>
      <c r="F271" s="95" t="str">
        <f>IFERROR(__xludf.DUMMYFUNCTION("""COMPUTED_VALUE"""),"Comum")</f>
        <v>Comum</v>
      </c>
      <c r="G271" s="95" t="str">
        <f>IFERROR(__xludf.DUMMYFUNCTION("""COMPUTED_VALUE"""),"4")</f>
        <v>4</v>
      </c>
      <c r="H271" s="95" t="str">
        <f>IFERROR(__xludf.DUMMYFUNCTION("""COMPUTED_VALUE"""),"26052104400")</f>
        <v>26052104400</v>
      </c>
      <c r="I271" s="105" t="str">
        <f>IFERROR(__xludf.DUMMYFUNCTION("""COMPUTED_VALUE"""),"10/05/2026 13:51:20")</f>
        <v>10/05/2026 13:51:20</v>
      </c>
      <c r="J271" s="95" t="str">
        <f>IFERROR(__xludf.DUMMYFUNCTION("""COMPUTED_VALUE"""),"LUNA MAITÊ DA SILVA")</f>
        <v>LUNA MAITÊ DA SILVA</v>
      </c>
      <c r="K271" s="95" t="str">
        <f>IFERROR(__xludf.DUMMYFUNCTION("""COMPUTED_VALUE"""),"007.052.864-01")</f>
        <v>007.052.864-01</v>
      </c>
      <c r="L271" s="106" t="str">
        <f>IFERROR(__xludf.DUMMYFUNCTION("""COMPUTED_VALUE"""),"21/03/2025")</f>
        <v>21/03/2025</v>
      </c>
      <c r="M271" s="104"/>
      <c r="N271" s="95" t="str">
        <f>IFERROR(__xludf.DUMMYFUNCTION("""COMPUTED_VALUE"""),"0")</f>
        <v>0</v>
      </c>
      <c r="O271" s="95"/>
      <c r="P271" s="95"/>
      <c r="Q271" s="95"/>
      <c r="R271" s="95"/>
      <c r="S271" s="95"/>
      <c r="T271" s="95"/>
      <c r="U271" s="95"/>
      <c r="V271" s="95"/>
      <c r="W271" s="95"/>
      <c r="X271" s="95"/>
      <c r="Y271" s="95"/>
      <c r="Z271" s="95"/>
      <c r="AA271" s="95"/>
      <c r="AB271" s="95"/>
      <c r="AC271" s="95"/>
    </row>
    <row r="272" ht="15.75" customHeight="1" spans="1:29">
      <c r="A272" s="95"/>
      <c r="B272" s="95" t="str">
        <f>VLOOKUP(C272,lista_id!$D$2:$F$152,3,0)</f>
        <v>REGIONAL 1</v>
      </c>
      <c r="C272" s="102" t="str">
        <f>IFERROR(__xludf.DUMMYFUNCTION("""COMPUTED_VALUE"""),"CRECHE MUNICIPAL PROFESSORA MARIA RITA LINS MARTINS")</f>
        <v>CRECHE MUNICIPAL PROFESSORA MARIA RITA LINS MARTINS</v>
      </c>
      <c r="D272" s="95" t="str">
        <f>IFERROR(__xludf.DUMMYFUNCTION("""COMPUTED_VALUE"""),"INFANTIL 2")</f>
        <v>INFANTIL 2</v>
      </c>
      <c r="E272" s="95" t="str">
        <f>IFERROR(__xludf.DUMMYFUNCTION("""COMPUTED_VALUE"""),"Integral")</f>
        <v>Integral</v>
      </c>
      <c r="F272" s="95" t="str">
        <f>IFERROR(__xludf.DUMMYFUNCTION("""COMPUTED_VALUE"""),"Comum")</f>
        <v>Comum</v>
      </c>
      <c r="G272" s="95" t="str">
        <f>IFERROR(__xludf.DUMMYFUNCTION("""COMPUTED_VALUE"""),"1")</f>
        <v>1</v>
      </c>
      <c r="H272" s="95" t="str">
        <f>IFERROR(__xludf.DUMMYFUNCTION("""COMPUTED_VALUE"""),"26012212414")</f>
        <v>26012212414</v>
      </c>
      <c r="I272" s="105" t="str">
        <f>IFERROR(__xludf.DUMMYFUNCTION("""COMPUTED_VALUE"""),"30/01/2026 13:46:37")</f>
        <v>30/01/2026 13:46:37</v>
      </c>
      <c r="J272" s="95" t="str">
        <f>IFERROR(__xludf.DUMMYFUNCTION("""COMPUTED_VALUE"""),"LUCAS MIGUEL DA SILVA PARAÍSO")</f>
        <v>LUCAS MIGUEL DA SILVA PARAÍSO</v>
      </c>
      <c r="K272" s="95" t="str">
        <f>IFERROR(__xludf.DUMMYFUNCTION("""COMPUTED_VALUE"""),"001.835.364-95")</f>
        <v>001.835.364-95</v>
      </c>
      <c r="L272" s="104" t="str">
        <f>IFERROR(__xludf.DUMMYFUNCTION("""COMPUTED_VALUE"""),"24/01/2024")</f>
        <v>24/01/2024</v>
      </c>
      <c r="M272" s="104"/>
      <c r="N272" s="95" t="str">
        <f>IFERROR(__xludf.DUMMYFUNCTION("""COMPUTED_VALUE"""),"0")</f>
        <v>0</v>
      </c>
      <c r="O272" s="95"/>
      <c r="P272" s="95"/>
      <c r="Q272" s="95"/>
      <c r="R272" s="95"/>
      <c r="S272" s="95"/>
      <c r="T272" s="95"/>
      <c r="U272" s="95"/>
      <c r="V272" s="95"/>
      <c r="W272" s="95"/>
      <c r="X272" s="95"/>
      <c r="Y272" s="95"/>
      <c r="Z272" s="95"/>
      <c r="AA272" s="95"/>
      <c r="AB272" s="95"/>
      <c r="AC272" s="95"/>
    </row>
    <row r="273" ht="15.75" customHeight="1" spans="1:29">
      <c r="A273" s="95"/>
      <c r="B273" s="95" t="str">
        <f>VLOOKUP(C273,lista_id!$D$2:$F$152,3,0)</f>
        <v>REGIONAL 1</v>
      </c>
      <c r="C273" s="102" t="str">
        <f>IFERROR(__xludf.DUMMYFUNCTION("""COMPUTED_VALUE"""),"CRECHE MUNICIPAL PROFESSORA MARIA RITA LINS MARTINS")</f>
        <v>CRECHE MUNICIPAL PROFESSORA MARIA RITA LINS MARTINS</v>
      </c>
      <c r="D273" s="95" t="str">
        <f>IFERROR(__xludf.DUMMYFUNCTION("""COMPUTED_VALUE"""),"INFANTIL 2")</f>
        <v>INFANTIL 2</v>
      </c>
      <c r="E273" s="95" t="str">
        <f>IFERROR(__xludf.DUMMYFUNCTION("""COMPUTED_VALUE"""),"Integral")</f>
        <v>Integral</v>
      </c>
      <c r="F273" s="95" t="str">
        <f>IFERROR(__xludf.DUMMYFUNCTION("""COMPUTED_VALUE"""),"Comum")</f>
        <v>Comum</v>
      </c>
      <c r="G273" s="95" t="str">
        <f>IFERROR(__xludf.DUMMYFUNCTION("""COMPUTED_VALUE"""),"2")</f>
        <v>2</v>
      </c>
      <c r="H273" s="95" t="str">
        <f>IFERROR(__xludf.DUMMYFUNCTION("""COMPUTED_VALUE"""),"26032777638")</f>
        <v>26032777638</v>
      </c>
      <c r="I273" s="105" t="str">
        <f>IFERROR(__xludf.DUMMYFUNCTION("""COMPUTED_VALUE"""),"08/03/2026 00:13:08")</f>
        <v>08/03/2026 00:13:08</v>
      </c>
      <c r="J273" s="95" t="str">
        <f>IFERROR(__xludf.DUMMYFUNCTION("""COMPUTED_VALUE"""),"HEITOR GABRIEL SANTANA GOMES DA SILVA")</f>
        <v>HEITOR GABRIEL SANTANA GOMES DA SILVA</v>
      </c>
      <c r="K273" s="95" t="str">
        <f>IFERROR(__xludf.DUMMYFUNCTION("""COMPUTED_VALUE"""),"186.023.384-81")</f>
        <v>186.023.384-81</v>
      </c>
      <c r="L273" s="106" t="str">
        <f>IFERROR(__xludf.DUMMYFUNCTION("""COMPUTED_VALUE"""),"19/07/2023")</f>
        <v>19/07/2023</v>
      </c>
      <c r="M273" s="104"/>
      <c r="N273" s="95" t="str">
        <f>IFERROR(__xludf.DUMMYFUNCTION("""COMPUTED_VALUE"""),"0")</f>
        <v>0</v>
      </c>
      <c r="O273" s="95"/>
      <c r="P273" s="95"/>
      <c r="Q273" s="95"/>
      <c r="R273" s="95"/>
      <c r="S273" s="95"/>
      <c r="T273" s="95"/>
      <c r="U273" s="95"/>
      <c r="V273" s="95"/>
      <c r="W273" s="95"/>
      <c r="X273" s="95"/>
      <c r="Y273" s="95"/>
      <c r="Z273" s="95"/>
      <c r="AA273" s="95"/>
      <c r="AB273" s="95"/>
      <c r="AC273" s="95"/>
    </row>
    <row r="274" ht="15.75" customHeight="1" spans="1:29">
      <c r="A274" s="95"/>
      <c r="B274" s="95" t="str">
        <f>VLOOKUP(C274,lista_id!$D$2:$F$152,3,0)</f>
        <v>REGIONAL 1</v>
      </c>
      <c r="C274" s="102" t="str">
        <f>IFERROR(__xludf.DUMMYFUNCTION("""COMPUTED_VALUE"""),"CRECHE MUNICIPAL PROFESSORA MARIA RITA LINS MARTINS")</f>
        <v>CRECHE MUNICIPAL PROFESSORA MARIA RITA LINS MARTINS</v>
      </c>
      <c r="D274" s="95" t="str">
        <f>IFERROR(__xludf.DUMMYFUNCTION("""COMPUTED_VALUE"""),"INFANTIL 2")</f>
        <v>INFANTIL 2</v>
      </c>
      <c r="E274" s="95" t="str">
        <f>IFERROR(__xludf.DUMMYFUNCTION("""COMPUTED_VALUE"""),"Integral")</f>
        <v>Integral</v>
      </c>
      <c r="F274" s="95" t="str">
        <f>IFERROR(__xludf.DUMMYFUNCTION("""COMPUTED_VALUE"""),"Comum")</f>
        <v>Comum</v>
      </c>
      <c r="G274" s="95" t="str">
        <f>IFERROR(__xludf.DUMMYFUNCTION("""COMPUTED_VALUE"""),"3")</f>
        <v>3</v>
      </c>
      <c r="H274" s="95" t="str">
        <f>IFERROR(__xludf.DUMMYFUNCTION("""COMPUTED_VALUE"""),"26032956018")</f>
        <v>26032956018</v>
      </c>
      <c r="I274" s="105" t="str">
        <f>IFERROR(__xludf.DUMMYFUNCTION("""COMPUTED_VALUE"""),"11/03/2026 10:30:16")</f>
        <v>11/03/2026 10:30:16</v>
      </c>
      <c r="J274" s="95" t="str">
        <f>IFERROR(__xludf.DUMMYFUNCTION("""COMPUTED_VALUE"""),"LORENZO SANTANA PAIXAO")</f>
        <v>LORENZO SANTANA PAIXAO</v>
      </c>
      <c r="K274" s="95" t="str">
        <f>IFERROR(__xludf.DUMMYFUNCTION("""COMPUTED_VALUE"""),"001.257.584-48")</f>
        <v>001.257.584-48</v>
      </c>
      <c r="L274" s="104" t="str">
        <f>IFERROR(__xludf.DUMMYFUNCTION("""COMPUTED_VALUE"""),"11/12/2023")</f>
        <v>11/12/2023</v>
      </c>
      <c r="M274" s="104"/>
      <c r="N274" s="95" t="str">
        <f>IFERROR(__xludf.DUMMYFUNCTION("""COMPUTED_VALUE"""),"0")</f>
        <v>0</v>
      </c>
      <c r="O274" s="95"/>
      <c r="P274" s="95"/>
      <c r="Q274" s="95"/>
      <c r="R274" s="95"/>
      <c r="S274" s="95"/>
      <c r="T274" s="95"/>
      <c r="U274" s="95"/>
      <c r="V274" s="95"/>
      <c r="W274" s="95"/>
      <c r="X274" s="95"/>
      <c r="Y274" s="95"/>
      <c r="Z274" s="95"/>
      <c r="AA274" s="95"/>
      <c r="AB274" s="95"/>
      <c r="AC274" s="95"/>
    </row>
    <row r="275" ht="15.75" customHeight="1" spans="1:29">
      <c r="A275" s="95"/>
      <c r="B275" s="95" t="str">
        <f>VLOOKUP(C275,lista_id!$D$2:$F$152,3,0)</f>
        <v>REGIONAL 1</v>
      </c>
      <c r="C275" s="102" t="str">
        <f>IFERROR(__xludf.DUMMYFUNCTION("""COMPUTED_VALUE"""),"CRECHE MUNICIPAL PROFESSORA MARIA RITA LINS MARTINS")</f>
        <v>CRECHE MUNICIPAL PROFESSORA MARIA RITA LINS MARTINS</v>
      </c>
      <c r="D275" s="95" t="str">
        <f>IFERROR(__xludf.DUMMYFUNCTION("""COMPUTED_VALUE"""),"INFANTIL 2")</f>
        <v>INFANTIL 2</v>
      </c>
      <c r="E275" s="95" t="str">
        <f>IFERROR(__xludf.DUMMYFUNCTION("""COMPUTED_VALUE"""),"Integral")</f>
        <v>Integral</v>
      </c>
      <c r="F275" s="95" t="str">
        <f>IFERROR(__xludf.DUMMYFUNCTION("""COMPUTED_VALUE"""),"Comum")</f>
        <v>Comum</v>
      </c>
      <c r="G275" s="95" t="str">
        <f>IFERROR(__xludf.DUMMYFUNCTION("""COMPUTED_VALUE"""),"4")</f>
        <v>4</v>
      </c>
      <c r="H275" s="95" t="str">
        <f>IFERROR(__xludf.DUMMYFUNCTION("""COMPUTED_VALUE"""),"26032966119")</f>
        <v>26032966119</v>
      </c>
      <c r="I275" s="105" t="str">
        <f>IFERROR(__xludf.DUMMYFUNCTION("""COMPUTED_VALUE"""),"17/03/2026 08:58:14")</f>
        <v>17/03/2026 08:58:14</v>
      </c>
      <c r="J275" s="95" t="str">
        <f>IFERROR(__xludf.DUMMYFUNCTION("""COMPUTED_VALUE"""),"LETÍCIA RIBAS DA LUZ")</f>
        <v>LETÍCIA RIBAS DA LUZ</v>
      </c>
      <c r="K275" s="95" t="str">
        <f>IFERROR(__xludf.DUMMYFUNCTION("""COMPUTED_VALUE"""),"001.930.104-96")</f>
        <v>001.930.104-96</v>
      </c>
      <c r="L275" s="104" t="str">
        <f>IFERROR(__xludf.DUMMYFUNCTION("""COMPUTED_VALUE"""),"09/03/2024")</f>
        <v>09/03/2024</v>
      </c>
      <c r="M275" s="104"/>
      <c r="N275" s="95" t="str">
        <f>IFERROR(__xludf.DUMMYFUNCTION("""COMPUTED_VALUE"""),"0")</f>
        <v>0</v>
      </c>
      <c r="O275" s="95"/>
      <c r="P275" s="95"/>
      <c r="Q275" s="95"/>
      <c r="R275" s="95"/>
      <c r="S275" s="95"/>
      <c r="T275" s="95"/>
      <c r="U275" s="95"/>
      <c r="V275" s="95"/>
      <c r="W275" s="95"/>
      <c r="X275" s="95"/>
      <c r="Y275" s="95"/>
      <c r="Z275" s="95"/>
      <c r="AA275" s="95"/>
      <c r="AB275" s="95"/>
      <c r="AC275" s="95"/>
    </row>
    <row r="276" ht="15.75" customHeight="1" spans="1:29">
      <c r="A276" s="95"/>
      <c r="B276" s="95" t="str">
        <f>VLOOKUP(C276,lista_id!$D$2:$F$152,3,0)</f>
        <v>REGIONAL 1</v>
      </c>
      <c r="C276" s="102" t="str">
        <f>IFERROR(__xludf.DUMMYFUNCTION("""COMPUTED_VALUE"""),"CRECHE MUNICIPAL PROFESSORA MARIA RITA LINS MARTINS")</f>
        <v>CRECHE MUNICIPAL PROFESSORA MARIA RITA LINS MARTINS</v>
      </c>
      <c r="D276" s="95" t="str">
        <f>IFERROR(__xludf.DUMMYFUNCTION("""COMPUTED_VALUE"""),"INFANTIL 2")</f>
        <v>INFANTIL 2</v>
      </c>
      <c r="E276" s="95" t="str">
        <f>IFERROR(__xludf.DUMMYFUNCTION("""COMPUTED_VALUE"""),"Integral")</f>
        <v>Integral</v>
      </c>
      <c r="F276" s="95" t="str">
        <f>IFERROR(__xludf.DUMMYFUNCTION("""COMPUTED_VALUE"""),"Comum")</f>
        <v>Comum</v>
      </c>
      <c r="G276" s="95" t="str">
        <f>IFERROR(__xludf.DUMMYFUNCTION("""COMPUTED_VALUE"""),"5")</f>
        <v>5</v>
      </c>
      <c r="H276" s="95" t="str">
        <f>IFERROR(__xludf.DUMMYFUNCTION("""COMPUTED_VALUE"""),"26042756277")</f>
        <v>26042756277</v>
      </c>
      <c r="I276" s="105" t="str">
        <f>IFERROR(__xludf.DUMMYFUNCTION("""COMPUTED_VALUE"""),"16/04/2026 17:20:01")</f>
        <v>16/04/2026 17:20:01</v>
      </c>
      <c r="J276" s="95" t="str">
        <f>IFERROR(__xludf.DUMMYFUNCTION("""COMPUTED_VALUE"""),"MARIA CLARA DOS SANTOS CHAVES MARTINS")</f>
        <v>MARIA CLARA DOS SANTOS CHAVES MARTINS</v>
      </c>
      <c r="K276" s="95" t="str">
        <f>IFERROR(__xludf.DUMMYFUNCTION("""COMPUTED_VALUE"""),"185.113.384-46")</f>
        <v>185.113.384-46</v>
      </c>
      <c r="L276" s="104" t="str">
        <f>IFERROR(__xludf.DUMMYFUNCTION("""COMPUTED_VALUE"""),"17/04/2023")</f>
        <v>17/04/2023</v>
      </c>
      <c r="M276" s="106"/>
      <c r="N276" s="95" t="str">
        <f>IFERROR(__xludf.DUMMYFUNCTION("""COMPUTED_VALUE"""),"0")</f>
        <v>0</v>
      </c>
      <c r="O276" s="95"/>
      <c r="P276" s="95"/>
      <c r="Q276" s="95"/>
      <c r="R276" s="95"/>
      <c r="S276" s="95"/>
      <c r="T276" s="95"/>
      <c r="U276" s="95"/>
      <c r="V276" s="95"/>
      <c r="W276" s="95"/>
      <c r="X276" s="95"/>
      <c r="Y276" s="95"/>
      <c r="Z276" s="95"/>
      <c r="AA276" s="95"/>
      <c r="AB276" s="95"/>
      <c r="AC276" s="95"/>
    </row>
    <row r="277" ht="15.75" customHeight="1" spans="1:29">
      <c r="A277" s="95"/>
      <c r="B277" s="95" t="str">
        <f>VLOOKUP(C277,lista_id!$D$2:$F$152,3,0)</f>
        <v>REGIONAL 1</v>
      </c>
      <c r="C277" s="102" t="str">
        <f>IFERROR(__xludf.DUMMYFUNCTION("""COMPUTED_VALUE"""),"CRECHE MUNICIPAL PROFESSORA MARIA RITA LINS MARTINS")</f>
        <v>CRECHE MUNICIPAL PROFESSORA MARIA RITA LINS MARTINS</v>
      </c>
      <c r="D277" s="95" t="str">
        <f>IFERROR(__xludf.DUMMYFUNCTION("""COMPUTED_VALUE"""),"INFANTIL 2")</f>
        <v>INFANTIL 2</v>
      </c>
      <c r="E277" s="95" t="str">
        <f>IFERROR(__xludf.DUMMYFUNCTION("""COMPUTED_VALUE"""),"Integral")</f>
        <v>Integral</v>
      </c>
      <c r="F277" s="95" t="str">
        <f>IFERROR(__xludf.DUMMYFUNCTION("""COMPUTED_VALUE"""),"Comum")</f>
        <v>Comum</v>
      </c>
      <c r="G277" s="95" t="str">
        <f>IFERROR(__xludf.DUMMYFUNCTION("""COMPUTED_VALUE"""),"6")</f>
        <v>6</v>
      </c>
      <c r="H277" s="95" t="str">
        <f>IFERROR(__xludf.DUMMYFUNCTION("""COMPUTED_VALUE"""),"26052484547")</f>
        <v>26052484547</v>
      </c>
      <c r="I277" s="105" t="str">
        <f>IFERROR(__xludf.DUMMYFUNCTION("""COMPUTED_VALUE"""),"13/05/2026 08:10:15")</f>
        <v>13/05/2026 08:10:15</v>
      </c>
      <c r="J277" s="95" t="str">
        <f>IFERROR(__xludf.DUMMYFUNCTION("""COMPUTED_VALUE"""),"THAYLLA MELISSA OLIVEIRA DOS SANTOS")</f>
        <v>THAYLLA MELISSA OLIVEIRA DOS SANTOS</v>
      </c>
      <c r="K277" s="95" t="str">
        <f>IFERROR(__xludf.DUMMYFUNCTION("""COMPUTED_VALUE"""),"186.284.484-46")</f>
        <v>186.284.484-46</v>
      </c>
      <c r="L277" s="104" t="str">
        <f>IFERROR(__xludf.DUMMYFUNCTION("""COMPUTED_VALUE"""),"16/08/2023")</f>
        <v>16/08/2023</v>
      </c>
      <c r="M277" s="106"/>
      <c r="N277" s="95" t="str">
        <f>IFERROR(__xludf.DUMMYFUNCTION("""COMPUTED_VALUE"""),"0")</f>
        <v>0</v>
      </c>
      <c r="O277" s="95"/>
      <c r="P277" s="95"/>
      <c r="Q277" s="95"/>
      <c r="R277" s="95"/>
      <c r="S277" s="95"/>
      <c r="T277" s="95"/>
      <c r="U277" s="95"/>
      <c r="V277" s="95"/>
      <c r="W277" s="95"/>
      <c r="X277" s="95"/>
      <c r="Y277" s="95"/>
      <c r="Z277" s="95"/>
      <c r="AA277" s="95"/>
      <c r="AB277" s="95"/>
      <c r="AC277" s="95"/>
    </row>
    <row r="278" ht="15.75" customHeight="1" spans="1:29">
      <c r="A278" s="95"/>
      <c r="B278" s="95" t="str">
        <f>VLOOKUP(C278,lista_id!$D$2:$F$152,3,0)</f>
        <v>REGIONAL 1</v>
      </c>
      <c r="C278" s="102" t="str">
        <f>IFERROR(__xludf.DUMMYFUNCTION("""COMPUTED_VALUE"""),"CRECHE MUNICIPAL PROFESSORA MARIA RITA LINS MARTINS")</f>
        <v>CRECHE MUNICIPAL PROFESSORA MARIA RITA LINS MARTINS</v>
      </c>
      <c r="D278" s="95" t="str">
        <f>IFERROR(__xludf.DUMMYFUNCTION("""COMPUTED_VALUE"""),"INFANTIL 3")</f>
        <v>INFANTIL 3</v>
      </c>
      <c r="E278" s="95" t="str">
        <f>IFERROR(__xludf.DUMMYFUNCTION("""COMPUTED_VALUE"""),"Integral")</f>
        <v>Integral</v>
      </c>
      <c r="F278" s="95" t="str">
        <f>IFERROR(__xludf.DUMMYFUNCTION("""COMPUTED_VALUE"""),"Comum")</f>
        <v>Comum</v>
      </c>
      <c r="G278" s="95" t="str">
        <f>IFERROR(__xludf.DUMMYFUNCTION("""COMPUTED_VALUE"""),"1")</f>
        <v>1</v>
      </c>
      <c r="H278" s="95" t="str">
        <f>IFERROR(__xludf.DUMMYFUNCTION("""COMPUTED_VALUE"""),"26042285207")</f>
        <v>26042285207</v>
      </c>
      <c r="I278" s="105" t="str">
        <f>IFERROR(__xludf.DUMMYFUNCTION("""COMPUTED_VALUE"""),"16/04/2026 17:16:18")</f>
        <v>16/04/2026 17:16:18</v>
      </c>
      <c r="J278" s="95" t="str">
        <f>IFERROR(__xludf.DUMMYFUNCTION("""COMPUTED_VALUE"""),"MARCELO GUILHERME DOS SANTOS CHAVES MARTINS")</f>
        <v>MARCELO GUILHERME DOS SANTOS CHAVES MARTINS</v>
      </c>
      <c r="K278" s="95" t="str">
        <f>IFERROR(__xludf.DUMMYFUNCTION("""COMPUTED_VALUE"""),"181.266.334-09")</f>
        <v>181.266.334-09</v>
      </c>
      <c r="L278" s="104" t="str">
        <f>IFERROR(__xludf.DUMMYFUNCTION("""COMPUTED_VALUE"""),"11/04/2022")</f>
        <v>11/04/2022</v>
      </c>
      <c r="M278" s="104"/>
      <c r="N278" s="95" t="str">
        <f>IFERROR(__xludf.DUMMYFUNCTION("""COMPUTED_VALUE"""),"0")</f>
        <v>0</v>
      </c>
      <c r="O278" s="95"/>
      <c r="P278" s="95"/>
      <c r="Q278" s="95"/>
      <c r="R278" s="95"/>
      <c r="S278" s="95"/>
      <c r="T278" s="95"/>
      <c r="U278" s="95"/>
      <c r="V278" s="95"/>
      <c r="W278" s="95"/>
      <c r="X278" s="95"/>
      <c r="Y278" s="95"/>
      <c r="Z278" s="95"/>
      <c r="AA278" s="95"/>
      <c r="AB278" s="95"/>
      <c r="AC278" s="95"/>
    </row>
    <row r="279" ht="15.75" customHeight="1" spans="1:29">
      <c r="A279" s="95"/>
      <c r="B279" s="95" t="str">
        <f>VLOOKUP(C279,lista_id!$D$2:$F$152,3,0)</f>
        <v>REGIONAL 1</v>
      </c>
      <c r="C279" s="102" t="str">
        <f>IFERROR(__xludf.DUMMYFUNCTION("""COMPUTED_VALUE"""),"CRECHE MUNICIPAL PROFESSORA MARIA RITA LINS MARTINS")</f>
        <v>CRECHE MUNICIPAL PROFESSORA MARIA RITA LINS MARTINS</v>
      </c>
      <c r="D279" s="95" t="str">
        <f>IFERROR(__xludf.DUMMYFUNCTION("""COMPUTED_VALUE"""),"INFANTIL 3")</f>
        <v>INFANTIL 3</v>
      </c>
      <c r="E279" s="95" t="str">
        <f>IFERROR(__xludf.DUMMYFUNCTION("""COMPUTED_VALUE"""),"Integral")</f>
        <v>Integral</v>
      </c>
      <c r="F279" s="95" t="str">
        <f>IFERROR(__xludf.DUMMYFUNCTION("""COMPUTED_VALUE"""),"Comum")</f>
        <v>Comum</v>
      </c>
      <c r="G279" s="95" t="str">
        <f>IFERROR(__xludf.DUMMYFUNCTION("""COMPUTED_VALUE"""),"2")</f>
        <v>2</v>
      </c>
      <c r="H279" s="95" t="str">
        <f>IFERROR(__xludf.DUMMYFUNCTION("""COMPUTED_VALUE"""),"26052447097")</f>
        <v>26052447097</v>
      </c>
      <c r="I279" s="105" t="str">
        <f>IFERROR(__xludf.DUMMYFUNCTION("""COMPUTED_VALUE"""),"10/05/2026 13:58:19")</f>
        <v>10/05/2026 13:58:19</v>
      </c>
      <c r="J279" s="95" t="str">
        <f>IFERROR(__xludf.DUMMYFUNCTION("""COMPUTED_VALUE"""),"DAVI EMANOEL DE MELO")</f>
        <v>DAVI EMANOEL DE MELO</v>
      </c>
      <c r="K279" s="95" t="str">
        <f>IFERROR(__xludf.DUMMYFUNCTION("""COMPUTED_VALUE"""),"184.254.274-52")</f>
        <v>184.254.274-52</v>
      </c>
      <c r="L279" s="104" t="str">
        <f>IFERROR(__xludf.DUMMYFUNCTION("""COMPUTED_VALUE"""),"07/01/2023")</f>
        <v>07/01/2023</v>
      </c>
      <c r="M279" s="104"/>
      <c r="N279" s="95" t="str">
        <f>IFERROR(__xludf.DUMMYFUNCTION("""COMPUTED_VALUE"""),"0")</f>
        <v>0</v>
      </c>
      <c r="O279" s="95"/>
      <c r="P279" s="95"/>
      <c r="Q279" s="95"/>
      <c r="R279" s="95"/>
      <c r="S279" s="95"/>
      <c r="T279" s="95"/>
      <c r="U279" s="95"/>
      <c r="V279" s="95"/>
      <c r="W279" s="95"/>
      <c r="X279" s="95"/>
      <c r="Y279" s="95"/>
      <c r="Z279" s="95"/>
      <c r="AA279" s="95"/>
      <c r="AB279" s="95"/>
      <c r="AC279" s="95"/>
    </row>
    <row r="280" ht="15.75" customHeight="1" spans="1:29">
      <c r="A280" s="95"/>
      <c r="B280" s="95" t="str">
        <f>VLOOKUP(C280,lista_id!$D$2:$F$152,3,0)</f>
        <v>REGIONAL 7</v>
      </c>
      <c r="C280" s="102" t="str">
        <f>IFERROR(__xludf.DUMMYFUNCTION("""COMPUTED_VALUE"""),"CRECHE MUNICIPAL PROFESSORA SILVIA CRISTINA SANTOS BOTELHO")</f>
        <v>CRECHE MUNICIPAL PROFESSORA SILVIA CRISTINA SANTOS BOTELHO</v>
      </c>
      <c r="D280" s="95" t="str">
        <f>IFERROR(__xludf.DUMMYFUNCTION("""COMPUTED_VALUE"""),"INFANTIL 1")</f>
        <v>INFANTIL 1</v>
      </c>
      <c r="E280" s="95" t="str">
        <f>IFERROR(__xludf.DUMMYFUNCTION("""COMPUTED_VALUE"""),"Integral")</f>
        <v>Integral</v>
      </c>
      <c r="F280" s="95" t="str">
        <f>IFERROR(__xludf.DUMMYFUNCTION("""COMPUTED_VALUE"""),"Comum")</f>
        <v>Comum</v>
      </c>
      <c r="G280" s="95" t="str">
        <f>IFERROR(__xludf.DUMMYFUNCTION("""COMPUTED_VALUE"""),"1")</f>
        <v>1</v>
      </c>
      <c r="H280" s="95" t="str">
        <f>IFERROR(__xludf.DUMMYFUNCTION("""COMPUTED_VALUE"""),"26022486223")</f>
        <v>26022486223</v>
      </c>
      <c r="I280" s="105" t="str">
        <f>IFERROR(__xludf.DUMMYFUNCTION("""COMPUTED_VALUE"""),"05/02/2026 23:06:26")</f>
        <v>05/02/2026 23:06:26</v>
      </c>
      <c r="J280" s="95" t="str">
        <f>IFERROR(__xludf.DUMMYFUNCTION("""COMPUTED_VALUE"""),"LIAN SAMUEL SANTOS")</f>
        <v>LIAN SAMUEL SANTOS</v>
      </c>
      <c r="K280" s="95" t="str">
        <f>IFERROR(__xludf.DUMMYFUNCTION("""COMPUTED_VALUE"""),"017.661.634-91")</f>
        <v>017.661.634-91</v>
      </c>
      <c r="L280" s="104" t="str">
        <f>IFERROR(__xludf.DUMMYFUNCTION("""COMPUTED_VALUE"""),"27/04/2025")</f>
        <v>27/04/2025</v>
      </c>
      <c r="M280" s="104"/>
      <c r="N280" s="95" t="str">
        <f>IFERROR(__xludf.DUMMYFUNCTION("""COMPUTED_VALUE"""),"0")</f>
        <v>0</v>
      </c>
      <c r="O280" s="95"/>
      <c r="P280" s="95"/>
      <c r="Q280" s="95"/>
      <c r="R280" s="95"/>
      <c r="S280" s="95"/>
      <c r="T280" s="95"/>
      <c r="U280" s="95"/>
      <c r="V280" s="95"/>
      <c r="W280" s="95"/>
      <c r="X280" s="95"/>
      <c r="Y280" s="95"/>
      <c r="Z280" s="95"/>
      <c r="AA280" s="95"/>
      <c r="AB280" s="95"/>
      <c r="AC280" s="95"/>
    </row>
    <row r="281" ht="15.75" customHeight="1" spans="1:29">
      <c r="A281" s="95"/>
      <c r="B281" s="95" t="str">
        <f>VLOOKUP(C281,lista_id!$D$2:$F$152,3,0)</f>
        <v>REGIONAL 7</v>
      </c>
      <c r="C281" s="102" t="str">
        <f>IFERROR(__xludf.DUMMYFUNCTION("""COMPUTED_VALUE"""),"CRECHE MUNICIPAL PROFESSORA SILVIA CRISTINA SANTOS BOTELHO")</f>
        <v>CRECHE MUNICIPAL PROFESSORA SILVIA CRISTINA SANTOS BOTELHO</v>
      </c>
      <c r="D281" s="95" t="str">
        <f>IFERROR(__xludf.DUMMYFUNCTION("""COMPUTED_VALUE"""),"INFANTIL 1")</f>
        <v>INFANTIL 1</v>
      </c>
      <c r="E281" s="95" t="str">
        <f>IFERROR(__xludf.DUMMYFUNCTION("""COMPUTED_VALUE"""),"Integral")</f>
        <v>Integral</v>
      </c>
      <c r="F281" s="95" t="str">
        <f>IFERROR(__xludf.DUMMYFUNCTION("""COMPUTED_VALUE"""),"Comum")</f>
        <v>Comum</v>
      </c>
      <c r="G281" s="95" t="str">
        <f>IFERROR(__xludf.DUMMYFUNCTION("""COMPUTED_VALUE"""),"2")</f>
        <v>2</v>
      </c>
      <c r="H281" s="95" t="str">
        <f>IFERROR(__xludf.DUMMYFUNCTION("""COMPUTED_VALUE"""),"26032050800")</f>
        <v>26032050800</v>
      </c>
      <c r="I281" s="105" t="str">
        <f>IFERROR(__xludf.DUMMYFUNCTION("""COMPUTED_VALUE"""),"27/03/2026 15:45:11")</f>
        <v>27/03/2026 15:45:11</v>
      </c>
      <c r="J281" s="95" t="str">
        <f>IFERROR(__xludf.DUMMYFUNCTION("""COMPUTED_VALUE"""),"ASAFE MIQUÉIAS DOS SANTOS VIEIRA")</f>
        <v>ASAFE MIQUÉIAS DOS SANTOS VIEIRA</v>
      </c>
      <c r="K281" s="95" t="str">
        <f>IFERROR(__xludf.DUMMYFUNCTION("""COMPUTED_VALUE"""),"004.348.364-00")</f>
        <v>004.348.364-00</v>
      </c>
      <c r="L281" s="106" t="str">
        <f>IFERROR(__xludf.DUMMYFUNCTION("""COMPUTED_VALUE"""),"12/10/2024")</f>
        <v>12/10/2024</v>
      </c>
      <c r="M281" s="104"/>
      <c r="N281" s="95" t="str">
        <f>IFERROR(__xludf.DUMMYFUNCTION("""COMPUTED_VALUE"""),"0")</f>
        <v>0</v>
      </c>
      <c r="O281" s="95"/>
      <c r="P281" s="95"/>
      <c r="Q281" s="95"/>
      <c r="R281" s="95"/>
      <c r="S281" s="95"/>
      <c r="T281" s="95"/>
      <c r="U281" s="95"/>
      <c r="V281" s="95"/>
      <c r="W281" s="95"/>
      <c r="X281" s="95"/>
      <c r="Y281" s="95"/>
      <c r="Z281" s="95"/>
      <c r="AA281" s="95"/>
      <c r="AB281" s="95"/>
      <c r="AC281" s="95"/>
    </row>
    <row r="282" ht="15.75" customHeight="1" spans="1:29">
      <c r="A282" s="95"/>
      <c r="B282" s="95" t="str">
        <f>VLOOKUP(C282,lista_id!$D$2:$F$152,3,0)</f>
        <v>REGIONAL 7</v>
      </c>
      <c r="C282" s="102" t="str">
        <f>IFERROR(__xludf.DUMMYFUNCTION("""COMPUTED_VALUE"""),"CRECHE MUNICIPAL PROFESSORA SILVIA CRISTINA SANTOS BOTELHO")</f>
        <v>CRECHE MUNICIPAL PROFESSORA SILVIA CRISTINA SANTOS BOTELHO</v>
      </c>
      <c r="D282" s="95" t="str">
        <f>IFERROR(__xludf.DUMMYFUNCTION("""COMPUTED_VALUE"""),"INFANTIL 1")</f>
        <v>INFANTIL 1</v>
      </c>
      <c r="E282" s="95" t="str">
        <f>IFERROR(__xludf.DUMMYFUNCTION("""COMPUTED_VALUE"""),"Integral")</f>
        <v>Integral</v>
      </c>
      <c r="F282" s="95" t="str">
        <f>IFERROR(__xludf.DUMMYFUNCTION("""COMPUTED_VALUE"""),"Comum")</f>
        <v>Comum</v>
      </c>
      <c r="G282" s="95" t="str">
        <f>IFERROR(__xludf.DUMMYFUNCTION("""COMPUTED_VALUE"""),"3")</f>
        <v>3</v>
      </c>
      <c r="H282" s="95" t="str">
        <f>IFERROR(__xludf.DUMMYFUNCTION("""COMPUTED_VALUE"""),"26042965061")</f>
        <v>26042965061</v>
      </c>
      <c r="I282" s="103" t="str">
        <f>IFERROR(__xludf.DUMMYFUNCTION("""COMPUTED_VALUE"""),"15/04/2026 22:22:20")</f>
        <v>15/04/2026 22:22:20</v>
      </c>
      <c r="J282" s="95" t="str">
        <f>IFERROR(__xludf.DUMMYFUNCTION("""COMPUTED_VALUE"""),"ISAAC ELVIS DA SILVA")</f>
        <v>ISAAC ELVIS DA SILVA</v>
      </c>
      <c r="K282" s="95" t="str">
        <f>IFERROR(__xludf.DUMMYFUNCTION("""COMPUTED_VALUE"""),"004.669.314-92")</f>
        <v>004.669.314-92</v>
      </c>
      <c r="L282" s="104" t="str">
        <f>IFERROR(__xludf.DUMMYFUNCTION("""COMPUTED_VALUE"""),"19/11/2024")</f>
        <v>19/11/2024</v>
      </c>
      <c r="M282" s="104"/>
      <c r="N282" s="95" t="str">
        <f>IFERROR(__xludf.DUMMYFUNCTION("""COMPUTED_VALUE"""),"0")</f>
        <v>0</v>
      </c>
      <c r="O282" s="95"/>
      <c r="P282" s="95"/>
      <c r="Q282" s="95"/>
      <c r="R282" s="95"/>
      <c r="S282" s="95"/>
      <c r="T282" s="95"/>
      <c r="U282" s="95"/>
      <c r="V282" s="95"/>
      <c r="W282" s="95"/>
      <c r="X282" s="95"/>
      <c r="Y282" s="95"/>
      <c r="Z282" s="95"/>
      <c r="AA282" s="95"/>
      <c r="AB282" s="95"/>
      <c r="AC282" s="95"/>
    </row>
    <row r="283" ht="15.75" customHeight="1" spans="1:29">
      <c r="A283" s="95"/>
      <c r="B283" s="95" t="str">
        <f>VLOOKUP(C283,lista_id!$D$2:$F$152,3,0)</f>
        <v>REGIONAL 7</v>
      </c>
      <c r="C283" s="102" t="str">
        <f>IFERROR(__xludf.DUMMYFUNCTION("""COMPUTED_VALUE"""),"CRECHE MUNICIPAL PROFESSORA SILVIA CRISTINA SANTOS BOTELHO")</f>
        <v>CRECHE MUNICIPAL PROFESSORA SILVIA CRISTINA SANTOS BOTELHO</v>
      </c>
      <c r="D283" s="95" t="str">
        <f>IFERROR(__xludf.DUMMYFUNCTION("""COMPUTED_VALUE"""),"INFANTIL 1")</f>
        <v>INFANTIL 1</v>
      </c>
      <c r="E283" s="95" t="str">
        <f>IFERROR(__xludf.DUMMYFUNCTION("""COMPUTED_VALUE"""),"Integral")</f>
        <v>Integral</v>
      </c>
      <c r="F283" s="95" t="str">
        <f>IFERROR(__xludf.DUMMYFUNCTION("""COMPUTED_VALUE"""),"Comum")</f>
        <v>Comum</v>
      </c>
      <c r="G283" s="95" t="str">
        <f>IFERROR(__xludf.DUMMYFUNCTION("""COMPUTED_VALUE"""),"4")</f>
        <v>4</v>
      </c>
      <c r="H283" s="95" t="str">
        <f>IFERROR(__xludf.DUMMYFUNCTION("""COMPUTED_VALUE"""),"26052030252")</f>
        <v>26052030252</v>
      </c>
      <c r="I283" s="103" t="str">
        <f>IFERROR(__xludf.DUMMYFUNCTION("""COMPUTED_VALUE"""),"05/05/2026 10:48:19")</f>
        <v>05/05/2026 10:48:19</v>
      </c>
      <c r="J283" s="95" t="str">
        <f>IFERROR(__xludf.DUMMYFUNCTION("""COMPUTED_VALUE"""),"DAVI NOGUEIRA")</f>
        <v>DAVI NOGUEIRA</v>
      </c>
      <c r="K283" s="95" t="str">
        <f>IFERROR(__xludf.DUMMYFUNCTION("""COMPUTED_VALUE"""),"003.540.674-78")</f>
        <v>003.540.674-78</v>
      </c>
      <c r="L283" s="104" t="str">
        <f>IFERROR(__xludf.DUMMYFUNCTION("""COMPUTED_VALUE"""),"19/06/2024")</f>
        <v>19/06/2024</v>
      </c>
      <c r="M283" s="104"/>
      <c r="N283" s="95" t="str">
        <f>IFERROR(__xludf.DUMMYFUNCTION("""COMPUTED_VALUE"""),"0")</f>
        <v>0</v>
      </c>
      <c r="O283" s="95"/>
      <c r="P283" s="95"/>
      <c r="Q283" s="95"/>
      <c r="R283" s="95"/>
      <c r="S283" s="95"/>
      <c r="T283" s="95"/>
      <c r="U283" s="95"/>
      <c r="V283" s="95"/>
      <c r="W283" s="95"/>
      <c r="X283" s="95"/>
      <c r="Y283" s="95"/>
      <c r="Z283" s="95"/>
      <c r="AA283" s="95"/>
      <c r="AB283" s="95"/>
      <c r="AC283" s="95"/>
    </row>
    <row r="284" ht="15.75" customHeight="1" spans="1:29">
      <c r="A284" s="95"/>
      <c r="B284" s="95" t="str">
        <f>VLOOKUP(C284,lista_id!$D$2:$F$152,3,0)</f>
        <v>REGIONAL 7</v>
      </c>
      <c r="C284" s="102" t="str">
        <f>IFERROR(__xludf.DUMMYFUNCTION("""COMPUTED_VALUE"""),"CRECHE MUNICIPAL PROFESSORA SILVIA CRISTINA SANTOS BOTELHO")</f>
        <v>CRECHE MUNICIPAL PROFESSORA SILVIA CRISTINA SANTOS BOTELHO</v>
      </c>
      <c r="D284" s="95" t="str">
        <f>IFERROR(__xludf.DUMMYFUNCTION("""COMPUTED_VALUE"""),"INFANTIL 1")</f>
        <v>INFANTIL 1</v>
      </c>
      <c r="E284" s="95" t="str">
        <f>IFERROR(__xludf.DUMMYFUNCTION("""COMPUTED_VALUE"""),"Integral")</f>
        <v>Integral</v>
      </c>
      <c r="F284" s="95" t="str">
        <f>IFERROR(__xludf.DUMMYFUNCTION("""COMPUTED_VALUE"""),"Comum")</f>
        <v>Comum</v>
      </c>
      <c r="G284" s="95" t="str">
        <f>IFERROR(__xludf.DUMMYFUNCTION("""COMPUTED_VALUE"""),"5")</f>
        <v>5</v>
      </c>
      <c r="H284" s="95" t="str">
        <f>IFERROR(__xludf.DUMMYFUNCTION("""COMPUTED_VALUE"""),"26052499840")</f>
        <v>26052499840</v>
      </c>
      <c r="I284" s="103" t="str">
        <f>IFERROR(__xludf.DUMMYFUNCTION("""COMPUTED_VALUE"""),"25/05/2026 19:36:10")</f>
        <v>25/05/2026 19:36:10</v>
      </c>
      <c r="J284" s="95" t="str">
        <f>IFERROR(__xludf.DUMMYFUNCTION("""COMPUTED_VALUE"""),"Ayla Sophia santos da silva")</f>
        <v>Ayla Sophia santos da silva</v>
      </c>
      <c r="K284" s="95" t="str">
        <f>IFERROR(__xludf.DUMMYFUNCTION("""COMPUTED_VALUE"""),"005.022.224-41")</f>
        <v>005.022.224-41</v>
      </c>
      <c r="L284" s="104" t="str">
        <f>IFERROR(__xludf.DUMMYFUNCTION("""COMPUTED_VALUE"""),"05/01/2025")</f>
        <v>05/01/2025</v>
      </c>
      <c r="M284" s="104"/>
      <c r="N284" s="95" t="str">
        <f>IFERROR(__xludf.DUMMYFUNCTION("""COMPUTED_VALUE"""),"0")</f>
        <v>0</v>
      </c>
      <c r="O284" s="95"/>
      <c r="P284" s="95"/>
      <c r="Q284" s="95"/>
      <c r="R284" s="95"/>
      <c r="S284" s="95"/>
      <c r="T284" s="95"/>
      <c r="U284" s="95"/>
      <c r="V284" s="95"/>
      <c r="W284" s="95"/>
      <c r="X284" s="95"/>
      <c r="Y284" s="95"/>
      <c r="Z284" s="95"/>
      <c r="AA284" s="95"/>
      <c r="AB284" s="95"/>
      <c r="AC284" s="95"/>
    </row>
    <row r="285" ht="15.75" customHeight="1" spans="1:29">
      <c r="A285" s="95"/>
      <c r="B285" s="95" t="str">
        <f>VLOOKUP(C285,lista_id!$D$2:$F$152,3,0)</f>
        <v>REGIONAL 2</v>
      </c>
      <c r="C285" s="102" t="str">
        <f>IFERROR(__xludf.DUMMYFUNCTION("""COMPUTED_VALUE"""),"CRECHE PROFESSORA LEDA MARIA QUEIROZ DO REGO BARROS")</f>
        <v>CRECHE PROFESSORA LEDA MARIA QUEIROZ DO REGO BARROS</v>
      </c>
      <c r="D285" s="95" t="str">
        <f>IFERROR(__xludf.DUMMYFUNCTION("""COMPUTED_VALUE"""),"INFANTIL 1")</f>
        <v>INFANTIL 1</v>
      </c>
      <c r="E285" s="95" t="str">
        <f>IFERROR(__xludf.DUMMYFUNCTION("""COMPUTED_VALUE"""),"Integral")</f>
        <v>Integral</v>
      </c>
      <c r="F285" s="95" t="str">
        <f>IFERROR(__xludf.DUMMYFUNCTION("""COMPUTED_VALUE"""),"Comum")</f>
        <v>Comum</v>
      </c>
      <c r="G285" s="95" t="str">
        <f>IFERROR(__xludf.DUMMYFUNCTION("""COMPUTED_VALUE"""),"1")</f>
        <v>1</v>
      </c>
      <c r="H285" s="95" t="str">
        <f>IFERROR(__xludf.DUMMYFUNCTION("""COMPUTED_VALUE"""),"26022254695")</f>
        <v>26022254695</v>
      </c>
      <c r="I285" s="103" t="str">
        <f>IFERROR(__xludf.DUMMYFUNCTION("""COMPUTED_VALUE"""),"26/02/2026 09:33:21")</f>
        <v>26/02/2026 09:33:21</v>
      </c>
      <c r="J285" s="95" t="str">
        <f>IFERROR(__xludf.DUMMYFUNCTION("""COMPUTED_VALUE"""),"MELANIE LORENA SOARES DA SILVA")</f>
        <v>MELANIE LORENA SOARES DA SILVA</v>
      </c>
      <c r="K285" s="95" t="str">
        <f>IFERROR(__xludf.DUMMYFUNCTION("""COMPUTED_VALUE"""),"003.731.354-16")</f>
        <v>003.731.354-16</v>
      </c>
      <c r="L285" s="104" t="str">
        <f>IFERROR(__xludf.DUMMYFUNCTION("""COMPUTED_VALUE"""),"20/07/2024")</f>
        <v>20/07/2024</v>
      </c>
      <c r="M285" s="104"/>
      <c r="N285" s="95" t="str">
        <f>IFERROR(__xludf.DUMMYFUNCTION("""COMPUTED_VALUE"""),"0")</f>
        <v>0</v>
      </c>
      <c r="O285" s="95"/>
      <c r="P285" s="95"/>
      <c r="Q285" s="95"/>
      <c r="R285" s="95"/>
      <c r="S285" s="95"/>
      <c r="T285" s="95"/>
      <c r="U285" s="95"/>
      <c r="V285" s="95"/>
      <c r="W285" s="95"/>
      <c r="X285" s="95"/>
      <c r="Y285" s="95"/>
      <c r="Z285" s="95"/>
      <c r="AA285" s="95"/>
      <c r="AB285" s="95"/>
      <c r="AC285" s="95"/>
    </row>
    <row r="286" ht="15.75" customHeight="1" spans="1:29">
      <c r="A286" s="95"/>
      <c r="B286" s="95" t="str">
        <f>VLOOKUP(C286,lista_id!$D$2:$F$152,3,0)</f>
        <v>REGIONAL 2</v>
      </c>
      <c r="C286" s="102" t="str">
        <f>IFERROR(__xludf.DUMMYFUNCTION("""COMPUTED_VALUE"""),"CRECHE PROFESSORA LEDA MARIA QUEIROZ DO REGO BARROS")</f>
        <v>CRECHE PROFESSORA LEDA MARIA QUEIROZ DO REGO BARROS</v>
      </c>
      <c r="D286" s="95" t="str">
        <f>IFERROR(__xludf.DUMMYFUNCTION("""COMPUTED_VALUE"""),"INFANTIL 1")</f>
        <v>INFANTIL 1</v>
      </c>
      <c r="E286" s="95" t="str">
        <f>IFERROR(__xludf.DUMMYFUNCTION("""COMPUTED_VALUE"""),"Integral")</f>
        <v>Integral</v>
      </c>
      <c r="F286" s="95" t="str">
        <f>IFERROR(__xludf.DUMMYFUNCTION("""COMPUTED_VALUE"""),"Comum")</f>
        <v>Comum</v>
      </c>
      <c r="G286" s="95" t="str">
        <f>IFERROR(__xludf.DUMMYFUNCTION("""COMPUTED_VALUE"""),"2")</f>
        <v>2</v>
      </c>
      <c r="H286" s="95" t="str">
        <f>IFERROR(__xludf.DUMMYFUNCTION("""COMPUTED_VALUE"""),"26042151076")</f>
        <v>26042151076</v>
      </c>
      <c r="I286" s="105" t="str">
        <f>IFERROR(__xludf.DUMMYFUNCTION("""COMPUTED_VALUE"""),"05/04/2026 16:11:06")</f>
        <v>05/04/2026 16:11:06</v>
      </c>
      <c r="J286" s="95" t="str">
        <f>IFERROR(__xludf.DUMMYFUNCTION("""COMPUTED_VALUE"""),"THÉO NICOLAS FERREIRA GERMANO")</f>
        <v>THÉO NICOLAS FERREIRA GERMANO</v>
      </c>
      <c r="K286" s="95" t="str">
        <f>IFERROR(__xludf.DUMMYFUNCTION("""COMPUTED_VALUE"""),"004.175.444-13")</f>
        <v>004.175.444-13</v>
      </c>
      <c r="L286" s="104" t="str">
        <f>IFERROR(__xludf.DUMMYFUNCTION("""COMPUTED_VALUE"""),"27/09/2024")</f>
        <v>27/09/2024</v>
      </c>
      <c r="M286" s="104"/>
      <c r="N286" s="95" t="str">
        <f>IFERROR(__xludf.DUMMYFUNCTION("""COMPUTED_VALUE"""),"0")</f>
        <v>0</v>
      </c>
      <c r="O286" s="95"/>
      <c r="P286" s="95"/>
      <c r="Q286" s="95"/>
      <c r="R286" s="95"/>
      <c r="S286" s="95"/>
      <c r="T286" s="95"/>
      <c r="U286" s="95"/>
      <c r="V286" s="95"/>
      <c r="W286" s="95"/>
      <c r="X286" s="95"/>
      <c r="Y286" s="95"/>
      <c r="Z286" s="95"/>
      <c r="AA286" s="95"/>
      <c r="AB286" s="95"/>
      <c r="AC286" s="95"/>
    </row>
    <row r="287" ht="15.75" customHeight="1" spans="1:29">
      <c r="A287" s="95"/>
      <c r="B287" s="95" t="str">
        <f>VLOOKUP(C287,lista_id!$D$2:$F$152,3,0)</f>
        <v>REGIONAL 2</v>
      </c>
      <c r="C287" s="102" t="str">
        <f>IFERROR(__xludf.DUMMYFUNCTION("""COMPUTED_VALUE"""),"CRECHE PROFESSORA LEDA MARIA QUEIROZ DO REGO BARROS")</f>
        <v>CRECHE PROFESSORA LEDA MARIA QUEIROZ DO REGO BARROS</v>
      </c>
      <c r="D287" s="95" t="str">
        <f>IFERROR(__xludf.DUMMYFUNCTION("""COMPUTED_VALUE"""),"INFANTIL 1")</f>
        <v>INFANTIL 1</v>
      </c>
      <c r="E287" s="95" t="str">
        <f>IFERROR(__xludf.DUMMYFUNCTION("""COMPUTED_VALUE"""),"Integral")</f>
        <v>Integral</v>
      </c>
      <c r="F287" s="95" t="str">
        <f>IFERROR(__xludf.DUMMYFUNCTION("""COMPUTED_VALUE"""),"Comum")</f>
        <v>Comum</v>
      </c>
      <c r="G287" s="95" t="str">
        <f>IFERROR(__xludf.DUMMYFUNCTION("""COMPUTED_VALUE"""),"3")</f>
        <v>3</v>
      </c>
      <c r="H287" s="95" t="str">
        <f>IFERROR(__xludf.DUMMYFUNCTION("""COMPUTED_VALUE"""),"26052865103")</f>
        <v>26052865103</v>
      </c>
      <c r="I287" s="103" t="str">
        <f>IFERROR(__xludf.DUMMYFUNCTION("""COMPUTED_VALUE"""),"25/05/2026 11:20:13")</f>
        <v>25/05/2026 11:20:13</v>
      </c>
      <c r="J287" s="95" t="str">
        <f>IFERROR(__xludf.DUMMYFUNCTION("""COMPUTED_VALUE"""),"Maria Clara Martins Da Silva")</f>
        <v>Maria Clara Martins Da Silva</v>
      </c>
      <c r="K287" s="95" t="str">
        <f>IFERROR(__xludf.DUMMYFUNCTION("""COMPUTED_VALUE"""),"003.270.114-40")</f>
        <v>003.270.114-40</v>
      </c>
      <c r="L287" s="104" t="str">
        <f>IFERROR(__xludf.DUMMYFUNCTION("""COMPUTED_VALUE"""),"22/04/2024")</f>
        <v>22/04/2024</v>
      </c>
      <c r="M287" s="104"/>
      <c r="N287" s="95" t="str">
        <f>IFERROR(__xludf.DUMMYFUNCTION("""COMPUTED_VALUE"""),"0")</f>
        <v>0</v>
      </c>
      <c r="O287" s="95"/>
      <c r="P287" s="95"/>
      <c r="Q287" s="95"/>
      <c r="R287" s="95"/>
      <c r="S287" s="95"/>
      <c r="T287" s="95"/>
      <c r="U287" s="95"/>
      <c r="V287" s="95"/>
      <c r="W287" s="95"/>
      <c r="X287" s="95"/>
      <c r="Y287" s="95"/>
      <c r="Z287" s="95"/>
      <c r="AA287" s="95"/>
      <c r="AB287" s="95"/>
      <c r="AC287" s="95"/>
    </row>
    <row r="288" ht="15.75" customHeight="1" spans="1:29">
      <c r="A288" s="95"/>
      <c r="B288" s="95" t="str">
        <f>VLOOKUP(C288,lista_id!$D$2:$F$152,3,0)</f>
        <v>REGIONAL 2</v>
      </c>
      <c r="C288" s="102" t="str">
        <f>IFERROR(__xludf.DUMMYFUNCTION("""COMPUTED_VALUE"""),"CRECHE PROFESSORA LEDA MARIA QUEIROZ DO REGO BARROS")</f>
        <v>CRECHE PROFESSORA LEDA MARIA QUEIROZ DO REGO BARROS</v>
      </c>
      <c r="D288" s="95" t="str">
        <f>IFERROR(__xludf.DUMMYFUNCTION("""COMPUTED_VALUE"""),"INFANTIL 2")</f>
        <v>INFANTIL 2</v>
      </c>
      <c r="E288" s="95" t="str">
        <f>IFERROR(__xludf.DUMMYFUNCTION("""COMPUTED_VALUE"""),"Integral")</f>
        <v>Integral</v>
      </c>
      <c r="F288" s="95" t="str">
        <f>IFERROR(__xludf.DUMMYFUNCTION("""COMPUTED_VALUE"""),"Comum")</f>
        <v>Comum</v>
      </c>
      <c r="G288" s="95" t="str">
        <f>IFERROR(__xludf.DUMMYFUNCTION("""COMPUTED_VALUE"""),"1")</f>
        <v>1</v>
      </c>
      <c r="H288" s="95" t="str">
        <f>IFERROR(__xludf.DUMMYFUNCTION("""COMPUTED_VALUE"""),"26022307802")</f>
        <v>26022307802</v>
      </c>
      <c r="I288" s="105" t="str">
        <f>IFERROR(__xludf.DUMMYFUNCTION("""COMPUTED_VALUE"""),"02/02/2026 18:41:44")</f>
        <v>02/02/2026 18:41:44</v>
      </c>
      <c r="J288" s="95" t="str">
        <f>IFERROR(__xludf.DUMMYFUNCTION("""COMPUTED_VALUE"""),"YAN KLEYSLER DE SOUZA PORTO")</f>
        <v>YAN KLEYSLER DE SOUZA PORTO</v>
      </c>
      <c r="K288" s="95" t="str">
        <f>IFERROR(__xludf.DUMMYFUNCTION("""COMPUTED_VALUE"""),"185.920.164-44")</f>
        <v>185.920.164-44</v>
      </c>
      <c r="L288" s="104" t="str">
        <f>IFERROR(__xludf.DUMMYFUNCTION("""COMPUTED_VALUE"""),"24/06/2023")</f>
        <v>24/06/2023</v>
      </c>
      <c r="M288" s="104"/>
      <c r="N288" s="95" t="str">
        <f>IFERROR(__xludf.DUMMYFUNCTION("""COMPUTED_VALUE"""),"0")</f>
        <v>0</v>
      </c>
      <c r="O288" s="95"/>
      <c r="P288" s="95"/>
      <c r="Q288" s="95"/>
      <c r="R288" s="95"/>
      <c r="S288" s="95"/>
      <c r="T288" s="95"/>
      <c r="U288" s="95"/>
      <c r="V288" s="95"/>
      <c r="W288" s="95"/>
      <c r="X288" s="95"/>
      <c r="Y288" s="95"/>
      <c r="Z288" s="95"/>
      <c r="AA288" s="95"/>
      <c r="AB288" s="95"/>
      <c r="AC288" s="95"/>
    </row>
    <row r="289" ht="15.75" customHeight="1" spans="1:29">
      <c r="A289" s="95"/>
      <c r="B289" s="95" t="str">
        <f>VLOOKUP(C289,lista_id!$D$2:$F$152,3,0)</f>
        <v>REGIONAL 2</v>
      </c>
      <c r="C289" s="102" t="str">
        <f>IFERROR(__xludf.DUMMYFUNCTION("""COMPUTED_VALUE"""),"CRECHE PROFESSORA LEDA MARIA QUEIROZ DO REGO BARROS")</f>
        <v>CRECHE PROFESSORA LEDA MARIA QUEIROZ DO REGO BARROS</v>
      </c>
      <c r="D289" s="95" t="str">
        <f>IFERROR(__xludf.DUMMYFUNCTION("""COMPUTED_VALUE"""),"INFANTIL 2")</f>
        <v>INFANTIL 2</v>
      </c>
      <c r="E289" s="95" t="str">
        <f>IFERROR(__xludf.DUMMYFUNCTION("""COMPUTED_VALUE"""),"Integral")</f>
        <v>Integral</v>
      </c>
      <c r="F289" s="95" t="str">
        <f>IFERROR(__xludf.DUMMYFUNCTION("""COMPUTED_VALUE"""),"Comum")</f>
        <v>Comum</v>
      </c>
      <c r="G289" s="95" t="str">
        <f>IFERROR(__xludf.DUMMYFUNCTION("""COMPUTED_VALUE"""),"2")</f>
        <v>2</v>
      </c>
      <c r="H289" s="95" t="str">
        <f>IFERROR(__xludf.DUMMYFUNCTION("""COMPUTED_VALUE"""),"26022670060")</f>
        <v>26022670060</v>
      </c>
      <c r="I289" s="105" t="str">
        <f>IFERROR(__xludf.DUMMYFUNCTION("""COMPUTED_VALUE"""),"09/02/2026 08:20:49")</f>
        <v>09/02/2026 08:20:49</v>
      </c>
      <c r="J289" s="95" t="str">
        <f>IFERROR(__xludf.DUMMYFUNCTION("""COMPUTED_VALUE"""),"THEODORO RODRIGUES DE SOUZA")</f>
        <v>THEODORO RODRIGUES DE SOUZA</v>
      </c>
      <c r="K289" s="95" t="str">
        <f>IFERROR(__xludf.DUMMYFUNCTION("""COMPUTED_VALUE"""),"002.234.014-98")</f>
        <v>002.234.014-98</v>
      </c>
      <c r="L289" s="104" t="str">
        <f>IFERROR(__xludf.DUMMYFUNCTION("""COMPUTED_VALUE"""),"10/03/2024")</f>
        <v>10/03/2024</v>
      </c>
      <c r="M289" s="104"/>
      <c r="N289" s="95" t="str">
        <f>IFERROR(__xludf.DUMMYFUNCTION("""COMPUTED_VALUE"""),"0")</f>
        <v>0</v>
      </c>
      <c r="O289" s="95"/>
      <c r="P289" s="95"/>
      <c r="Q289" s="95"/>
      <c r="R289" s="95"/>
      <c r="S289" s="95"/>
      <c r="T289" s="95"/>
      <c r="U289" s="95"/>
      <c r="V289" s="95"/>
      <c r="W289" s="95"/>
      <c r="X289" s="95"/>
      <c r="Y289" s="95"/>
      <c r="Z289" s="95"/>
      <c r="AA289" s="95"/>
      <c r="AB289" s="95"/>
      <c r="AC289" s="95"/>
    </row>
    <row r="290" ht="15.75" customHeight="1" spans="1:29">
      <c r="A290" s="95"/>
      <c r="B290" s="95" t="str">
        <f>VLOOKUP(C290,lista_id!$D$2:$F$152,3,0)</f>
        <v>REGIONAL 2</v>
      </c>
      <c r="C290" s="102" t="str">
        <f>IFERROR(__xludf.DUMMYFUNCTION("""COMPUTED_VALUE"""),"CRECHE PROFESSORA LEDA MARIA QUEIROZ DO REGO BARROS")</f>
        <v>CRECHE PROFESSORA LEDA MARIA QUEIROZ DO REGO BARROS</v>
      </c>
      <c r="D290" s="95" t="str">
        <f>IFERROR(__xludf.DUMMYFUNCTION("""COMPUTED_VALUE"""),"INFANTIL 2")</f>
        <v>INFANTIL 2</v>
      </c>
      <c r="E290" s="95" t="str">
        <f>IFERROR(__xludf.DUMMYFUNCTION("""COMPUTED_VALUE"""),"Integral")</f>
        <v>Integral</v>
      </c>
      <c r="F290" s="95" t="str">
        <f>IFERROR(__xludf.DUMMYFUNCTION("""COMPUTED_VALUE"""),"Comum")</f>
        <v>Comum</v>
      </c>
      <c r="G290" s="95" t="str">
        <f>IFERROR(__xludf.DUMMYFUNCTION("""COMPUTED_VALUE"""),"3")</f>
        <v>3</v>
      </c>
      <c r="H290" s="95" t="str">
        <f>IFERROR(__xludf.DUMMYFUNCTION("""COMPUTED_VALUE"""),"26032703170")</f>
        <v>26032703170</v>
      </c>
      <c r="I290" s="105" t="str">
        <f>IFERROR(__xludf.DUMMYFUNCTION("""COMPUTED_VALUE"""),"09/03/2026 10:20:55")</f>
        <v>09/03/2026 10:20:55</v>
      </c>
      <c r="J290" s="95" t="str">
        <f>IFERROR(__xludf.DUMMYFUNCTION("""COMPUTED_VALUE"""),"SARAH JAAZIELY DA SILVA ALMEIDA")</f>
        <v>SARAH JAAZIELY DA SILVA ALMEIDA</v>
      </c>
      <c r="K290" s="95" t="str">
        <f>IFERROR(__xludf.DUMMYFUNCTION("""COMPUTED_VALUE"""),"185.906.584-81")</f>
        <v>185.906.584-81</v>
      </c>
      <c r="L290" s="104" t="str">
        <f>IFERROR(__xludf.DUMMYFUNCTION("""COMPUTED_VALUE"""),"19/06/2023")</f>
        <v>19/06/2023</v>
      </c>
      <c r="M290" s="104"/>
      <c r="N290" s="95" t="str">
        <f>IFERROR(__xludf.DUMMYFUNCTION("""COMPUTED_VALUE"""),"0")</f>
        <v>0</v>
      </c>
      <c r="O290" s="95"/>
      <c r="P290" s="95"/>
      <c r="Q290" s="95"/>
      <c r="R290" s="95"/>
      <c r="S290" s="95"/>
      <c r="T290" s="95"/>
      <c r="U290" s="95"/>
      <c r="V290" s="95"/>
      <c r="W290" s="95"/>
      <c r="X290" s="95"/>
      <c r="Y290" s="95"/>
      <c r="Z290" s="95"/>
      <c r="AA290" s="95"/>
      <c r="AB290" s="95"/>
      <c r="AC290" s="95"/>
    </row>
    <row r="291" ht="15.75" customHeight="1" spans="1:29">
      <c r="A291" s="95"/>
      <c r="B291" s="95" t="str">
        <f>VLOOKUP(C291,lista_id!$D$2:$F$152,3,0)</f>
        <v>REGIONAL 2</v>
      </c>
      <c r="C291" s="102" t="str">
        <f>IFERROR(__xludf.DUMMYFUNCTION("""COMPUTED_VALUE"""),"CRECHE PROFESSORA LEDA MARIA QUEIROZ DO REGO BARROS")</f>
        <v>CRECHE PROFESSORA LEDA MARIA QUEIROZ DO REGO BARROS</v>
      </c>
      <c r="D291" s="95" t="str">
        <f>IFERROR(__xludf.DUMMYFUNCTION("""COMPUTED_VALUE"""),"INFANTIL 2")</f>
        <v>INFANTIL 2</v>
      </c>
      <c r="E291" s="95" t="str">
        <f>IFERROR(__xludf.DUMMYFUNCTION("""COMPUTED_VALUE"""),"Integral")</f>
        <v>Integral</v>
      </c>
      <c r="F291" s="95" t="str">
        <f>IFERROR(__xludf.DUMMYFUNCTION("""COMPUTED_VALUE"""),"Comum")</f>
        <v>Comum</v>
      </c>
      <c r="G291" s="95" t="str">
        <f>IFERROR(__xludf.DUMMYFUNCTION("""COMPUTED_VALUE"""),"4")</f>
        <v>4</v>
      </c>
      <c r="H291" s="95" t="str">
        <f>IFERROR(__xludf.DUMMYFUNCTION("""COMPUTED_VALUE"""),"26042780193")</f>
        <v>26042780193</v>
      </c>
      <c r="I291" s="105" t="str">
        <f>IFERROR(__xludf.DUMMYFUNCTION("""COMPUTED_VALUE"""),"10/04/2026 02:09:34")</f>
        <v>10/04/2026 02:09:34</v>
      </c>
      <c r="J291" s="95" t="str">
        <f>IFERROR(__xludf.DUMMYFUNCTION("""COMPUTED_VALUE"""),"SAMUEL RICARDO SANTOS DO NASCIMENTO")</f>
        <v>SAMUEL RICARDO SANTOS DO NASCIMENTO</v>
      </c>
      <c r="K291" s="95" t="str">
        <f>IFERROR(__xludf.DUMMYFUNCTION("""COMPUTED_VALUE"""),"186.203.434-67")</f>
        <v>186.203.434-67</v>
      </c>
      <c r="L291" s="104" t="str">
        <f>IFERROR(__xludf.DUMMYFUNCTION("""COMPUTED_VALUE"""),"10/08/2023")</f>
        <v>10/08/2023</v>
      </c>
      <c r="M291" s="104"/>
      <c r="N291" s="95" t="str">
        <f>IFERROR(__xludf.DUMMYFUNCTION("""COMPUTED_VALUE"""),"0")</f>
        <v>0</v>
      </c>
      <c r="O291" s="95"/>
      <c r="P291" s="95"/>
      <c r="Q291" s="95"/>
      <c r="R291" s="95"/>
      <c r="S291" s="95"/>
      <c r="T291" s="95"/>
      <c r="U291" s="95"/>
      <c r="V291" s="95"/>
      <c r="W291" s="95"/>
      <c r="X291" s="95"/>
      <c r="Y291" s="95"/>
      <c r="Z291" s="95"/>
      <c r="AA291" s="95"/>
      <c r="AB291" s="95"/>
      <c r="AC291" s="95"/>
    </row>
    <row r="292" ht="15.75" customHeight="1" spans="1:29">
      <c r="A292" s="95"/>
      <c r="B292" s="95" t="str">
        <f>VLOOKUP(C292,lista_id!$D$2:$F$152,3,0)</f>
        <v>REGIONAL 2</v>
      </c>
      <c r="C292" s="102" t="str">
        <f>IFERROR(__xludf.DUMMYFUNCTION("""COMPUTED_VALUE"""),"CRECHE PROFESSORA LEDA MARIA QUEIROZ DO REGO BARROS")</f>
        <v>CRECHE PROFESSORA LEDA MARIA QUEIROZ DO REGO BARROS</v>
      </c>
      <c r="D292" s="95" t="str">
        <f>IFERROR(__xludf.DUMMYFUNCTION("""COMPUTED_VALUE"""),"INFANTIL 2")</f>
        <v>INFANTIL 2</v>
      </c>
      <c r="E292" s="95" t="str">
        <f>IFERROR(__xludf.DUMMYFUNCTION("""COMPUTED_VALUE"""),"Integral")</f>
        <v>Integral</v>
      </c>
      <c r="F292" s="95" t="str">
        <f>IFERROR(__xludf.DUMMYFUNCTION("""COMPUTED_VALUE"""),"Comum")</f>
        <v>Comum</v>
      </c>
      <c r="G292" s="95" t="str">
        <f>IFERROR(__xludf.DUMMYFUNCTION("""COMPUTED_VALUE"""),"5")</f>
        <v>5</v>
      </c>
      <c r="H292" s="95" t="str">
        <f>IFERROR(__xludf.DUMMYFUNCTION("""COMPUTED_VALUE"""),"26042615582")</f>
        <v>26042615582</v>
      </c>
      <c r="I292" s="105" t="str">
        <f>IFERROR(__xludf.DUMMYFUNCTION("""COMPUTED_VALUE"""),"22/04/2026 11:52:44")</f>
        <v>22/04/2026 11:52:44</v>
      </c>
      <c r="J292" s="95" t="str">
        <f>IFERROR(__xludf.DUMMYFUNCTION("""COMPUTED_VALUE"""),"HARIEL MIGUEL FAUSTINO")</f>
        <v>HARIEL MIGUEL FAUSTINO</v>
      </c>
      <c r="K292" s="95" t="str">
        <f>IFERROR(__xludf.DUMMYFUNCTION("""COMPUTED_VALUE"""),"186.111.564-47")</f>
        <v>186.111.564-47</v>
      </c>
      <c r="L292" s="106" t="str">
        <f>IFERROR(__xludf.DUMMYFUNCTION("""COMPUTED_VALUE"""),"15/07/2023")</f>
        <v>15/07/2023</v>
      </c>
      <c r="M292" s="104"/>
      <c r="N292" s="95" t="str">
        <f>IFERROR(__xludf.DUMMYFUNCTION("""COMPUTED_VALUE"""),"0")</f>
        <v>0</v>
      </c>
      <c r="O292" s="95"/>
      <c r="P292" s="95"/>
      <c r="Q292" s="95"/>
      <c r="R292" s="95"/>
      <c r="S292" s="95"/>
      <c r="T292" s="95"/>
      <c r="U292" s="95"/>
      <c r="V292" s="95"/>
      <c r="W292" s="95"/>
      <c r="X292" s="95"/>
      <c r="Y292" s="95"/>
      <c r="Z292" s="95"/>
      <c r="AA292" s="95"/>
      <c r="AB292" s="95"/>
      <c r="AC292" s="95"/>
    </row>
    <row r="293" ht="15.75" customHeight="1" spans="1:29">
      <c r="A293" s="95"/>
      <c r="B293" s="95" t="str">
        <f>VLOOKUP(C293,lista_id!$D$2:$F$152,3,0)</f>
        <v>REGIONAL 5</v>
      </c>
      <c r="C293" s="102" t="str">
        <f>IFERROR(__xludf.DUMMYFUNCTION("""COMPUTED_VALUE"""),"ESCOLA DIVINA PROVIDENCIA")</f>
        <v>ESCOLA DIVINA PROVIDENCIA</v>
      </c>
      <c r="D293" s="95" t="str">
        <f>IFERROR(__xludf.DUMMYFUNCTION("""COMPUTED_VALUE"""),"INFANTIL 4")</f>
        <v>INFANTIL 4</v>
      </c>
      <c r="E293" s="95" t="str">
        <f>IFERROR(__xludf.DUMMYFUNCTION("""COMPUTED_VALUE"""),"Vespertino/Tarde")</f>
        <v>Vespertino/Tarde</v>
      </c>
      <c r="F293" s="95" t="str">
        <f>IFERROR(__xludf.DUMMYFUNCTION("""COMPUTED_VALUE"""),"Comum")</f>
        <v>Comum</v>
      </c>
      <c r="G293" s="95" t="str">
        <f>IFERROR(__xludf.DUMMYFUNCTION("""COMPUTED_VALUE"""),"1")</f>
        <v>1</v>
      </c>
      <c r="H293" s="95" t="str">
        <f>IFERROR(__xludf.DUMMYFUNCTION("""COMPUTED_VALUE"""),"26022869504")</f>
        <v>26022869504</v>
      </c>
      <c r="I293" s="105" t="str">
        <f>IFERROR(__xludf.DUMMYFUNCTION("""COMPUTED_VALUE"""),"04/02/2026 20:16:01")</f>
        <v>04/02/2026 20:16:01</v>
      </c>
      <c r="J293" s="95" t="str">
        <f>IFERROR(__xludf.DUMMYFUNCTION("""COMPUTED_VALUE"""),"VIN DIESEL SILVA NASCIMENTO")</f>
        <v>VIN DIESEL SILVA NASCIMENTO</v>
      </c>
      <c r="K293" s="95" t="str">
        <f>IFERROR(__xludf.DUMMYFUNCTION("""COMPUTED_VALUE"""),"180.925.734-41")</f>
        <v>180.925.734-41</v>
      </c>
      <c r="L293" s="104" t="str">
        <f>IFERROR(__xludf.DUMMYFUNCTION("""COMPUTED_VALUE"""),"03/01/2022")</f>
        <v>03/01/2022</v>
      </c>
      <c r="M293" s="106"/>
      <c r="N293" s="95" t="str">
        <f>IFERROR(__xludf.DUMMYFUNCTION("""COMPUTED_VALUE"""),"0")</f>
        <v>0</v>
      </c>
      <c r="O293" s="95"/>
      <c r="P293" s="95"/>
      <c r="Q293" s="95"/>
      <c r="R293" s="95"/>
      <c r="S293" s="95"/>
      <c r="T293" s="95"/>
      <c r="U293" s="95"/>
      <c r="V293" s="95"/>
      <c r="W293" s="95"/>
      <c r="X293" s="95"/>
      <c r="Y293" s="95"/>
      <c r="Z293" s="95"/>
      <c r="AA293" s="95"/>
      <c r="AB293" s="95"/>
      <c r="AC293" s="95"/>
    </row>
    <row r="294" ht="15.75" customHeight="1" spans="1:29">
      <c r="A294" s="95"/>
      <c r="B294" s="95" t="str">
        <f>VLOOKUP(C294,lista_id!$D$2:$F$152,3,0)</f>
        <v>REGIONAL 5</v>
      </c>
      <c r="C294" s="102" t="str">
        <f>IFERROR(__xludf.DUMMYFUNCTION("""COMPUTED_VALUE"""),"ESCOLA DIVINA PROVIDENCIA")</f>
        <v>ESCOLA DIVINA PROVIDENCIA</v>
      </c>
      <c r="D294" s="95" t="str">
        <f>IFERROR(__xludf.DUMMYFUNCTION("""COMPUTED_VALUE"""),"INFANTIL 4")</f>
        <v>INFANTIL 4</v>
      </c>
      <c r="E294" s="95" t="str">
        <f>IFERROR(__xludf.DUMMYFUNCTION("""COMPUTED_VALUE"""),"Vespertino/Tarde")</f>
        <v>Vespertino/Tarde</v>
      </c>
      <c r="F294" s="95" t="str">
        <f>IFERROR(__xludf.DUMMYFUNCTION("""COMPUTED_VALUE"""),"Comum")</f>
        <v>Comum</v>
      </c>
      <c r="G294" s="95" t="str">
        <f>IFERROR(__xludf.DUMMYFUNCTION("""COMPUTED_VALUE"""),"2")</f>
        <v>2</v>
      </c>
      <c r="H294" s="95" t="str">
        <f>IFERROR(__xludf.DUMMYFUNCTION("""COMPUTED_VALUE"""),"26042415086")</f>
        <v>26042415086</v>
      </c>
      <c r="I294" s="105" t="str">
        <f>IFERROR(__xludf.DUMMYFUNCTION("""COMPUTED_VALUE"""),"26/04/2026 13:27:45")</f>
        <v>26/04/2026 13:27:45</v>
      </c>
      <c r="J294" s="95" t="str">
        <f>IFERROR(__xludf.DUMMYFUNCTION("""COMPUTED_VALUE"""),"DAVI LUIS GOMES DA SILVA")</f>
        <v>DAVI LUIS GOMES DA SILVA</v>
      </c>
      <c r="K294" s="95" t="str">
        <f>IFERROR(__xludf.DUMMYFUNCTION("""COMPUTED_VALUE"""),"178.029.944-38")</f>
        <v>178.029.944-38</v>
      </c>
      <c r="L294" s="104" t="str">
        <f>IFERROR(__xludf.DUMMYFUNCTION("""COMPUTED_VALUE"""),"27/08/2021")</f>
        <v>27/08/2021</v>
      </c>
      <c r="M294" s="104"/>
      <c r="N294" s="95" t="str">
        <f>IFERROR(__xludf.DUMMYFUNCTION("""COMPUTED_VALUE"""),"0")</f>
        <v>0</v>
      </c>
      <c r="O294" s="95"/>
      <c r="P294" s="95"/>
      <c r="Q294" s="95"/>
      <c r="R294" s="95"/>
      <c r="S294" s="95"/>
      <c r="T294" s="95"/>
      <c r="U294" s="95"/>
      <c r="V294" s="95"/>
      <c r="W294" s="95"/>
      <c r="X294" s="95"/>
      <c r="Y294" s="95"/>
      <c r="Z294" s="95"/>
      <c r="AA294" s="95"/>
      <c r="AB294" s="95"/>
      <c r="AC294" s="95"/>
    </row>
    <row r="295" ht="15.75" customHeight="1" spans="1:29">
      <c r="A295" s="95"/>
      <c r="B295" s="95" t="str">
        <f>VLOOKUP(C295,lista_id!$D$2:$F$152,3,0)</f>
        <v>REGIONAL 5</v>
      </c>
      <c r="C295" s="102" t="str">
        <f>IFERROR(__xludf.DUMMYFUNCTION("""COMPUTED_VALUE"""),"ESCOLA DIVINA PROVIDENCIA")</f>
        <v>ESCOLA DIVINA PROVIDENCIA</v>
      </c>
      <c r="D295" s="95" t="str">
        <f>IFERROR(__xludf.DUMMYFUNCTION("""COMPUTED_VALUE"""),"INFANTIL 5")</f>
        <v>INFANTIL 5</v>
      </c>
      <c r="E295" s="95" t="str">
        <f>IFERROR(__xludf.DUMMYFUNCTION("""COMPUTED_VALUE"""),"Matutino/Manhã")</f>
        <v>Matutino/Manhã</v>
      </c>
      <c r="F295" s="95" t="str">
        <f>IFERROR(__xludf.DUMMYFUNCTION("""COMPUTED_VALUE"""),"Comum")</f>
        <v>Comum</v>
      </c>
      <c r="G295" s="95" t="str">
        <f>IFERROR(__xludf.DUMMYFUNCTION("""COMPUTED_VALUE"""),"1")</f>
        <v>1</v>
      </c>
      <c r="H295" s="95" t="str">
        <f>IFERROR(__xludf.DUMMYFUNCTION("""COMPUTED_VALUE"""),"26012524949")</f>
        <v>26012524949</v>
      </c>
      <c r="I295" s="105" t="str">
        <f>IFERROR(__xludf.DUMMYFUNCTION("""COMPUTED_VALUE"""),"29/01/2026 16:35:18")</f>
        <v>29/01/2026 16:35:18</v>
      </c>
      <c r="J295" s="95" t="str">
        <f>IFERROR(__xludf.DUMMYFUNCTION("""COMPUTED_VALUE"""),"APOLLO VALENTIM MELO DA SILVA")</f>
        <v>APOLLO VALENTIM MELO DA SILVA</v>
      </c>
      <c r="K295" s="95" t="str">
        <f>IFERROR(__xludf.DUMMYFUNCTION("""COMPUTED_VALUE"""),"175.742.254-43")</f>
        <v>175.742.254-43</v>
      </c>
      <c r="L295" s="106" t="str">
        <f>IFERROR(__xludf.DUMMYFUNCTION("""COMPUTED_VALUE"""),"09/12/2020")</f>
        <v>09/12/2020</v>
      </c>
      <c r="M295" s="104"/>
      <c r="N295" s="95" t="str">
        <f>IFERROR(__xludf.DUMMYFUNCTION("""COMPUTED_VALUE"""),"0")</f>
        <v>0</v>
      </c>
      <c r="O295" s="95"/>
      <c r="P295" s="95"/>
      <c r="Q295" s="95"/>
      <c r="R295" s="95"/>
      <c r="S295" s="95"/>
      <c r="T295" s="95"/>
      <c r="U295" s="95"/>
      <c r="V295" s="95"/>
      <c r="W295" s="95"/>
      <c r="X295" s="95"/>
      <c r="Y295" s="95"/>
      <c r="Z295" s="95"/>
      <c r="AA295" s="95"/>
      <c r="AB295" s="95"/>
      <c r="AC295" s="95"/>
    </row>
    <row r="296" ht="15.75" customHeight="1" spans="1:29">
      <c r="A296" s="95"/>
      <c r="B296" s="95" t="str">
        <f>VLOOKUP(C296,lista_id!$D$2:$F$152,3,0)</f>
        <v>REGIONAL 5</v>
      </c>
      <c r="C296" s="102" t="str">
        <f>IFERROR(__xludf.DUMMYFUNCTION("""COMPUTED_VALUE"""),"ESCOLA DIVINA PROVIDENCIA")</f>
        <v>ESCOLA DIVINA PROVIDENCIA</v>
      </c>
      <c r="D296" s="95" t="str">
        <f>IFERROR(__xludf.DUMMYFUNCTION("""COMPUTED_VALUE"""),"INFANTIL 5")</f>
        <v>INFANTIL 5</v>
      </c>
      <c r="E296" s="95" t="str">
        <f>IFERROR(__xludf.DUMMYFUNCTION("""COMPUTED_VALUE"""),"Matutino/Manhã")</f>
        <v>Matutino/Manhã</v>
      </c>
      <c r="F296" s="95" t="str">
        <f>IFERROR(__xludf.DUMMYFUNCTION("""COMPUTED_VALUE"""),"Comum")</f>
        <v>Comum</v>
      </c>
      <c r="G296" s="95" t="str">
        <f>IFERROR(__xludf.DUMMYFUNCTION("""COMPUTED_VALUE"""),"2")</f>
        <v>2</v>
      </c>
      <c r="H296" s="95" t="str">
        <f>IFERROR(__xludf.DUMMYFUNCTION("""COMPUTED_VALUE"""),"26022875186")</f>
        <v>26022875186</v>
      </c>
      <c r="I296" s="105" t="str">
        <f>IFERROR(__xludf.DUMMYFUNCTION("""COMPUTED_VALUE"""),"09/02/2026 13:32:07")</f>
        <v>09/02/2026 13:32:07</v>
      </c>
      <c r="J296" s="95" t="str">
        <f>IFERROR(__xludf.DUMMYFUNCTION("""COMPUTED_VALUE"""),"RYAN JOSE GONÇALVES DIAS DOS SANTOS")</f>
        <v>RYAN JOSE GONÇALVES DIAS DOS SANTOS</v>
      </c>
      <c r="K296" s="95" t="str">
        <f>IFERROR(__xludf.DUMMYFUNCTION("""COMPUTED_VALUE"""),"174.223.224-89")</f>
        <v>174.223.224-89</v>
      </c>
      <c r="L296" s="104" t="str">
        <f>IFERROR(__xludf.DUMMYFUNCTION("""COMPUTED_VALUE"""),"18/11/2020")</f>
        <v>18/11/2020</v>
      </c>
      <c r="M296" s="104"/>
      <c r="N296" s="95" t="str">
        <f>IFERROR(__xludf.DUMMYFUNCTION("""COMPUTED_VALUE"""),"0")</f>
        <v>0</v>
      </c>
      <c r="O296" s="95"/>
      <c r="P296" s="95"/>
      <c r="Q296" s="95"/>
      <c r="R296" s="95"/>
      <c r="S296" s="95"/>
      <c r="T296" s="95"/>
      <c r="U296" s="95"/>
      <c r="V296" s="95"/>
      <c r="W296" s="95"/>
      <c r="X296" s="95"/>
      <c r="Y296" s="95"/>
      <c r="Z296" s="95"/>
      <c r="AA296" s="95"/>
      <c r="AB296" s="95"/>
      <c r="AC296" s="95"/>
    </row>
    <row r="297" ht="15.75" customHeight="1" spans="1:29">
      <c r="A297" s="95"/>
      <c r="B297" s="95"/>
      <c r="C297" s="102" t="str">
        <f>IFERROR(__xludf.DUMMYFUNCTION("""COMPUTED_VALUE"""),"ESCOLA DIVINA PROVIDENCIA")</f>
        <v>ESCOLA DIVINA PROVIDENCIA</v>
      </c>
      <c r="D297" s="95" t="str">
        <f>IFERROR(__xludf.DUMMYFUNCTION("""COMPUTED_VALUE"""),"INFANTIL 5")</f>
        <v>INFANTIL 5</v>
      </c>
      <c r="E297" s="95" t="str">
        <f>IFERROR(__xludf.DUMMYFUNCTION("""COMPUTED_VALUE"""),"Matutino/Manhã")</f>
        <v>Matutino/Manhã</v>
      </c>
      <c r="F297" s="95" t="str">
        <f>IFERROR(__xludf.DUMMYFUNCTION("""COMPUTED_VALUE"""),"Comum")</f>
        <v>Comum</v>
      </c>
      <c r="G297" s="95" t="str">
        <f>IFERROR(__xludf.DUMMYFUNCTION("""COMPUTED_VALUE"""),"3")</f>
        <v>3</v>
      </c>
      <c r="H297" s="95" t="str">
        <f>IFERROR(__xludf.DUMMYFUNCTION("""COMPUTED_VALUE"""),"26022004708")</f>
        <v>26022004708</v>
      </c>
      <c r="I297" s="105" t="str">
        <f>IFERROR(__xludf.DUMMYFUNCTION("""COMPUTED_VALUE"""),"26/02/2026 10:13:54")</f>
        <v>26/02/2026 10:13:54</v>
      </c>
      <c r="J297" s="95" t="str">
        <f>IFERROR(__xludf.DUMMYFUNCTION("""COMPUTED_VALUE"""),"ANTHONY PIETRO ALVES DA SILVA")</f>
        <v>ANTHONY PIETRO ALVES DA SILVA</v>
      </c>
      <c r="K297" s="95" t="str">
        <f>IFERROR(__xludf.DUMMYFUNCTION("""COMPUTED_VALUE"""),"176.736.264-11")</f>
        <v>176.736.264-11</v>
      </c>
      <c r="L297" s="106" t="str">
        <f>IFERROR(__xludf.DUMMYFUNCTION("""COMPUTED_VALUE"""),"01/01/2021")</f>
        <v>01/01/2021</v>
      </c>
      <c r="M297" s="104"/>
      <c r="N297" s="95" t="str">
        <f>IFERROR(__xludf.DUMMYFUNCTION("""COMPUTED_VALUE"""),"0")</f>
        <v>0</v>
      </c>
      <c r="O297" s="95"/>
      <c r="P297" s="95"/>
      <c r="Q297" s="95"/>
      <c r="R297" s="95"/>
      <c r="S297" s="95"/>
      <c r="T297" s="95"/>
      <c r="U297" s="95"/>
      <c r="V297" s="95"/>
      <c r="W297" s="95"/>
      <c r="X297" s="95"/>
      <c r="Y297" s="95"/>
      <c r="Z297" s="95"/>
      <c r="AA297" s="95"/>
      <c r="AB297" s="95"/>
      <c r="AC297" s="95"/>
    </row>
    <row r="298" ht="15.75" customHeight="1" spans="1:29">
      <c r="A298" s="95"/>
      <c r="B298" s="95"/>
      <c r="C298" s="102" t="str">
        <f>IFERROR(__xludf.DUMMYFUNCTION("""COMPUTED_VALUE"""),"ESCOLA DIVINA PROVIDENCIA")</f>
        <v>ESCOLA DIVINA PROVIDENCIA</v>
      </c>
      <c r="D298" s="95" t="str">
        <f>IFERROR(__xludf.DUMMYFUNCTION("""COMPUTED_VALUE"""),"INFANTIL 5")</f>
        <v>INFANTIL 5</v>
      </c>
      <c r="E298" s="95" t="str">
        <f>IFERROR(__xludf.DUMMYFUNCTION("""COMPUTED_VALUE"""),"Vespertino/Tarde")</f>
        <v>Vespertino/Tarde</v>
      </c>
      <c r="F298" s="95" t="str">
        <f>IFERROR(__xludf.DUMMYFUNCTION("""COMPUTED_VALUE"""),"Comum")</f>
        <v>Comum</v>
      </c>
      <c r="G298" s="95" t="str">
        <f>IFERROR(__xludf.DUMMYFUNCTION("""COMPUTED_VALUE"""),"1")</f>
        <v>1</v>
      </c>
      <c r="H298" s="95" t="str">
        <f>IFERROR(__xludf.DUMMYFUNCTION("""COMPUTED_VALUE"""),"26012838763")</f>
        <v>26012838763</v>
      </c>
      <c r="I298" s="105" t="str">
        <f>IFERROR(__xludf.DUMMYFUNCTION("""COMPUTED_VALUE"""),"28/01/2026 08:59:44")</f>
        <v>28/01/2026 08:59:44</v>
      </c>
      <c r="J298" s="95" t="str">
        <f>IFERROR(__xludf.DUMMYFUNCTION("""COMPUTED_VALUE"""),"LAUREN HELOÍSA")</f>
        <v>LAUREN HELOÍSA</v>
      </c>
      <c r="K298" s="95" t="str">
        <f>IFERROR(__xludf.DUMMYFUNCTION("""COMPUTED_VALUE"""),"173.232.204-08")</f>
        <v>173.232.204-08</v>
      </c>
      <c r="L298" s="104" t="str">
        <f>IFERROR(__xludf.DUMMYFUNCTION("""COMPUTED_VALUE"""),"18/08/2020")</f>
        <v>18/08/2020</v>
      </c>
      <c r="M298" s="104"/>
      <c r="N298" s="95" t="str">
        <f>IFERROR(__xludf.DUMMYFUNCTION("""COMPUTED_VALUE"""),"0")</f>
        <v>0</v>
      </c>
      <c r="O298" s="95"/>
      <c r="P298" s="95"/>
      <c r="Q298" s="95"/>
      <c r="R298" s="95"/>
      <c r="S298" s="95"/>
      <c r="T298" s="95"/>
      <c r="U298" s="95"/>
      <c r="V298" s="95"/>
      <c r="W298" s="95"/>
      <c r="X298" s="95"/>
      <c r="Y298" s="95"/>
      <c r="Z298" s="95"/>
      <c r="AA298" s="95"/>
      <c r="AB298" s="95"/>
      <c r="AC298" s="95"/>
    </row>
    <row r="299" ht="15.75" customHeight="1" spans="1:29">
      <c r="A299" s="95"/>
      <c r="B299" s="95"/>
      <c r="C299" s="102" t="str">
        <f>IFERROR(__xludf.DUMMYFUNCTION("""COMPUTED_VALUE"""),"ESCOLA DIVINA PROVIDENCIA")</f>
        <v>ESCOLA DIVINA PROVIDENCIA</v>
      </c>
      <c r="D299" s="95" t="str">
        <f>IFERROR(__xludf.DUMMYFUNCTION("""COMPUTED_VALUE"""),"INFANTIL 5")</f>
        <v>INFANTIL 5</v>
      </c>
      <c r="E299" s="95" t="str">
        <f>IFERROR(__xludf.DUMMYFUNCTION("""COMPUTED_VALUE"""),"Vespertino/Tarde")</f>
        <v>Vespertino/Tarde</v>
      </c>
      <c r="F299" s="95" t="str">
        <f>IFERROR(__xludf.DUMMYFUNCTION("""COMPUTED_VALUE"""),"Comum")</f>
        <v>Comum</v>
      </c>
      <c r="G299" s="95" t="str">
        <f>IFERROR(__xludf.DUMMYFUNCTION("""COMPUTED_VALUE"""),"2")</f>
        <v>2</v>
      </c>
      <c r="H299" s="95" t="str">
        <f>IFERROR(__xludf.DUMMYFUNCTION("""COMPUTED_VALUE"""),"26012224020")</f>
        <v>26012224020</v>
      </c>
      <c r="I299" s="105" t="str">
        <f>IFERROR(__xludf.DUMMYFUNCTION("""COMPUTED_VALUE"""),"28/01/2026 13:07:11")</f>
        <v>28/01/2026 13:07:11</v>
      </c>
      <c r="J299" s="95" t="str">
        <f>IFERROR(__xludf.DUMMYFUNCTION("""COMPUTED_VALUE"""),"AYLLA SOPHIA ASSUNÇÃO DA SILVA")</f>
        <v>AYLLA SOPHIA ASSUNÇÃO DA SILVA</v>
      </c>
      <c r="K299" s="95" t="str">
        <f>IFERROR(__xludf.DUMMYFUNCTION("""COMPUTED_VALUE"""),"171.767.474-74")</f>
        <v>171.767.474-74</v>
      </c>
      <c r="L299" s="106" t="str">
        <f>IFERROR(__xludf.DUMMYFUNCTION("""COMPUTED_VALUE"""),"06/05/2020")</f>
        <v>06/05/2020</v>
      </c>
      <c r="M299" s="106"/>
      <c r="N299" s="95" t="str">
        <f>IFERROR(__xludf.DUMMYFUNCTION("""COMPUTED_VALUE"""),"0")</f>
        <v>0</v>
      </c>
      <c r="O299" s="95"/>
      <c r="P299" s="95"/>
      <c r="Q299" s="95"/>
      <c r="R299" s="95"/>
      <c r="S299" s="95"/>
      <c r="T299" s="95"/>
      <c r="U299" s="95"/>
      <c r="V299" s="95"/>
      <c r="W299" s="95"/>
      <c r="X299" s="95"/>
      <c r="Y299" s="95"/>
      <c r="Z299" s="95"/>
      <c r="AA299" s="95"/>
      <c r="AB299" s="95"/>
      <c r="AC299" s="95"/>
    </row>
    <row r="300" ht="15.75" customHeight="1" spans="1:29">
      <c r="A300" s="95"/>
      <c r="B300" s="95"/>
      <c r="C300" s="102" t="str">
        <f>IFERROR(__xludf.DUMMYFUNCTION("""COMPUTED_VALUE"""),"ESCOLA DIVINA PROVIDENCIA")</f>
        <v>ESCOLA DIVINA PROVIDENCIA</v>
      </c>
      <c r="D300" s="95" t="str">
        <f>IFERROR(__xludf.DUMMYFUNCTION("""COMPUTED_VALUE"""),"INFANTIL 5")</f>
        <v>INFANTIL 5</v>
      </c>
      <c r="E300" s="95" t="str">
        <f>IFERROR(__xludf.DUMMYFUNCTION("""COMPUTED_VALUE"""),"Vespertino/Tarde")</f>
        <v>Vespertino/Tarde</v>
      </c>
      <c r="F300" s="95" t="str">
        <f>IFERROR(__xludf.DUMMYFUNCTION("""COMPUTED_VALUE"""),"Comum")</f>
        <v>Comum</v>
      </c>
      <c r="G300" s="95" t="str">
        <f>IFERROR(__xludf.DUMMYFUNCTION("""COMPUTED_VALUE"""),"3")</f>
        <v>3</v>
      </c>
      <c r="H300" s="95" t="str">
        <f>IFERROR(__xludf.DUMMYFUNCTION("""COMPUTED_VALUE"""),"26022432207")</f>
        <v>26022432207</v>
      </c>
      <c r="I300" s="105" t="str">
        <f>IFERROR(__xludf.DUMMYFUNCTION("""COMPUTED_VALUE"""),"04/02/2026 18:23:41")</f>
        <v>04/02/2026 18:23:41</v>
      </c>
      <c r="J300" s="95" t="str">
        <f>IFERROR(__xludf.DUMMYFUNCTION("""COMPUTED_VALUE"""),"LUANNY FERREIRA SANTIAGO")</f>
        <v>LUANNY FERREIRA SANTIAGO</v>
      </c>
      <c r="K300" s="95" t="str">
        <f>IFERROR(__xludf.DUMMYFUNCTION("""COMPUTED_VALUE"""),"172.863.234-07")</f>
        <v>172.863.234-07</v>
      </c>
      <c r="L300" s="104" t="str">
        <f>IFERROR(__xludf.DUMMYFUNCTION("""COMPUTED_VALUE"""),"07/04/2020")</f>
        <v>07/04/2020</v>
      </c>
      <c r="M300" s="104"/>
      <c r="N300" s="95" t="str">
        <f>IFERROR(__xludf.DUMMYFUNCTION("""COMPUTED_VALUE"""),"0")</f>
        <v>0</v>
      </c>
      <c r="O300" s="95"/>
      <c r="P300" s="95"/>
      <c r="Q300" s="95"/>
      <c r="R300" s="95"/>
      <c r="S300" s="95"/>
      <c r="T300" s="95"/>
      <c r="U300" s="95"/>
      <c r="V300" s="95"/>
      <c r="W300" s="95"/>
      <c r="X300" s="95"/>
      <c r="Y300" s="95"/>
      <c r="Z300" s="95"/>
      <c r="AA300" s="95"/>
      <c r="AB300" s="95"/>
      <c r="AC300" s="95"/>
    </row>
    <row r="301" ht="15.75" customHeight="1" spans="1:29">
      <c r="A301" s="95"/>
      <c r="B301" s="95"/>
      <c r="C301" s="102" t="str">
        <f>IFERROR(__xludf.DUMMYFUNCTION("""COMPUTED_VALUE"""),"ESCOLA DJALMA FARIAS")</f>
        <v>ESCOLA DJALMA FARIAS</v>
      </c>
      <c r="D301" s="95" t="str">
        <f>IFERROR(__xludf.DUMMYFUNCTION("""COMPUTED_VALUE"""),"INFANTIL 4")</f>
        <v>INFANTIL 4</v>
      </c>
      <c r="E301" s="95" t="str">
        <f>IFERROR(__xludf.DUMMYFUNCTION("""COMPUTED_VALUE"""),"Vespertino/Tarde")</f>
        <v>Vespertino/Tarde</v>
      </c>
      <c r="F301" s="95" t="str">
        <f>IFERROR(__xludf.DUMMYFUNCTION("""COMPUTED_VALUE"""),"Comum")</f>
        <v>Comum</v>
      </c>
      <c r="G301" s="95" t="str">
        <f>IFERROR(__xludf.DUMMYFUNCTION("""COMPUTED_VALUE"""),"1")</f>
        <v>1</v>
      </c>
      <c r="H301" s="95" t="str">
        <f>IFERROR(__xludf.DUMMYFUNCTION("""COMPUTED_VALUE"""),"26052510398")</f>
        <v>26052510398</v>
      </c>
      <c r="I301" s="105" t="str">
        <f>IFERROR(__xludf.DUMMYFUNCTION("""COMPUTED_VALUE"""),"04/05/2026 15:07:33")</f>
        <v>04/05/2026 15:07:33</v>
      </c>
      <c r="J301" s="95" t="str">
        <f>IFERROR(__xludf.DUMMYFUNCTION("""COMPUTED_VALUE"""),"ENZO GABRIEL DA SILVA")</f>
        <v>ENZO GABRIEL DA SILVA</v>
      </c>
      <c r="K301" s="95" t="str">
        <f>IFERROR(__xludf.DUMMYFUNCTION("""COMPUTED_VALUE"""),"176.408.024-66")</f>
        <v>176.408.024-66</v>
      </c>
      <c r="L301" s="106" t="str">
        <f>IFERROR(__xludf.DUMMYFUNCTION("""COMPUTED_VALUE"""),"13/04/2021")</f>
        <v>13/04/2021</v>
      </c>
      <c r="M301" s="104"/>
      <c r="N301" s="95" t="str">
        <f>IFERROR(__xludf.DUMMYFUNCTION("""COMPUTED_VALUE"""),"0")</f>
        <v>0</v>
      </c>
      <c r="O301" s="95"/>
      <c r="P301" s="95"/>
      <c r="Q301" s="95"/>
      <c r="R301" s="95"/>
      <c r="S301" s="95"/>
      <c r="T301" s="95"/>
      <c r="U301" s="95"/>
      <c r="V301" s="95"/>
      <c r="W301" s="95"/>
      <c r="X301" s="95"/>
      <c r="Y301" s="95"/>
      <c r="Z301" s="95"/>
      <c r="AA301" s="95"/>
      <c r="AB301" s="95"/>
      <c r="AC301" s="95"/>
    </row>
    <row r="302" ht="15.75" customHeight="1" spans="1:29">
      <c r="A302" s="95"/>
      <c r="B302" s="95"/>
      <c r="C302" s="102" t="str">
        <f>IFERROR(__xludf.DUMMYFUNCTION("""COMPUTED_VALUE"""),"ESCOLA MUNICIPAL ALMIRANTE TAMANDARE")</f>
        <v>ESCOLA MUNICIPAL ALMIRANTE TAMANDARE</v>
      </c>
      <c r="D302" s="95" t="str">
        <f>IFERROR(__xludf.DUMMYFUNCTION("""COMPUTED_VALUE"""),"INFANTIL 4")</f>
        <v>INFANTIL 4</v>
      </c>
      <c r="E302" s="95" t="str">
        <f>IFERROR(__xludf.DUMMYFUNCTION("""COMPUTED_VALUE"""),"Vespertino/Tarde")</f>
        <v>Vespertino/Tarde</v>
      </c>
      <c r="F302" s="95" t="str">
        <f>IFERROR(__xludf.DUMMYFUNCTION("""COMPUTED_VALUE"""),"Comum")</f>
        <v>Comum</v>
      </c>
      <c r="G302" s="95" t="str">
        <f>IFERROR(__xludf.DUMMYFUNCTION("""COMPUTED_VALUE"""),"1")</f>
        <v>1</v>
      </c>
      <c r="H302" s="95" t="str">
        <f>IFERROR(__xludf.DUMMYFUNCTION("""COMPUTED_VALUE"""),"26042789624")</f>
        <v>26042789624</v>
      </c>
      <c r="I302" s="105" t="str">
        <f>IFERROR(__xludf.DUMMYFUNCTION("""COMPUTED_VALUE"""),"06/04/2026 09:58:26")</f>
        <v>06/04/2026 09:58:26</v>
      </c>
      <c r="J302" s="95" t="str">
        <f>IFERROR(__xludf.DUMMYFUNCTION("""COMPUTED_VALUE"""),"HENRIQUE MATEUS SANTANA DA SILVA")</f>
        <v>HENRIQUE MATEUS SANTANA DA SILVA</v>
      </c>
      <c r="K302" s="95" t="str">
        <f>IFERROR(__xludf.DUMMYFUNCTION("""COMPUTED_VALUE"""),"180.914.944-40")</f>
        <v>180.914.944-40</v>
      </c>
      <c r="L302" s="104" t="str">
        <f>IFERROR(__xludf.DUMMYFUNCTION("""COMPUTED_VALUE"""),"17/01/2022")</f>
        <v>17/01/2022</v>
      </c>
      <c r="M302" s="104"/>
      <c r="N302" s="95" t="str">
        <f>IFERROR(__xludf.DUMMYFUNCTION("""COMPUTED_VALUE"""),"0")</f>
        <v>0</v>
      </c>
      <c r="O302" s="95"/>
      <c r="P302" s="95"/>
      <c r="Q302" s="95"/>
      <c r="R302" s="95"/>
      <c r="S302" s="95"/>
      <c r="T302" s="95"/>
      <c r="U302" s="95"/>
      <c r="V302" s="95"/>
      <c r="W302" s="95"/>
      <c r="X302" s="95"/>
      <c r="Y302" s="95"/>
      <c r="Z302" s="95"/>
      <c r="AA302" s="95"/>
      <c r="AB302" s="95"/>
      <c r="AC302" s="95"/>
    </row>
    <row r="303" ht="15.75" customHeight="1" spans="1:29">
      <c r="A303" s="95"/>
      <c r="B303" s="95"/>
      <c r="C303" s="102" t="str">
        <f>IFERROR(__xludf.DUMMYFUNCTION("""COMPUTED_VALUE"""),"ESCOLA MUNICIPAL ALMIRANTE TAMANDARE")</f>
        <v>ESCOLA MUNICIPAL ALMIRANTE TAMANDARE</v>
      </c>
      <c r="D303" s="95" t="str">
        <f>IFERROR(__xludf.DUMMYFUNCTION("""COMPUTED_VALUE"""),"INFANTIL 5")</f>
        <v>INFANTIL 5</v>
      </c>
      <c r="E303" s="95" t="str">
        <f>IFERROR(__xludf.DUMMYFUNCTION("""COMPUTED_VALUE"""),"Matutino/Manhã")</f>
        <v>Matutino/Manhã</v>
      </c>
      <c r="F303" s="95" t="str">
        <f>IFERROR(__xludf.DUMMYFUNCTION("""COMPUTED_VALUE"""),"Comum")</f>
        <v>Comum</v>
      </c>
      <c r="G303" s="95" t="str">
        <f>IFERROR(__xludf.DUMMYFUNCTION("""COMPUTED_VALUE"""),"1")</f>
        <v>1</v>
      </c>
      <c r="H303" s="95" t="str">
        <f>IFERROR(__xludf.DUMMYFUNCTION("""COMPUTED_VALUE"""),"26032041396")</f>
        <v>26032041396</v>
      </c>
      <c r="I303" s="105" t="str">
        <f>IFERROR(__xludf.DUMMYFUNCTION("""COMPUTED_VALUE"""),"16/03/2026 10:20:01")</f>
        <v>16/03/2026 10:20:01</v>
      </c>
      <c r="J303" s="95" t="str">
        <f>IFERROR(__xludf.DUMMYFUNCTION("""COMPUTED_VALUE"""),"MARIA LUIZA ALVES DOS SANTOS")</f>
        <v>MARIA LUIZA ALVES DOS SANTOS</v>
      </c>
      <c r="K303" s="95" t="str">
        <f>IFERROR(__xludf.DUMMYFUNCTION("""COMPUTED_VALUE"""),"176.993.744-79")</f>
        <v>176.993.744-79</v>
      </c>
      <c r="L303" s="106" t="str">
        <f>IFERROR(__xludf.DUMMYFUNCTION("""COMPUTED_VALUE"""),"30/11/2020")</f>
        <v>30/11/2020</v>
      </c>
      <c r="M303" s="104"/>
      <c r="N303" s="95" t="str">
        <f>IFERROR(__xludf.DUMMYFUNCTION("""COMPUTED_VALUE"""),"0")</f>
        <v>0</v>
      </c>
      <c r="O303" s="95"/>
      <c r="P303" s="95"/>
      <c r="Q303" s="95"/>
      <c r="R303" s="95"/>
      <c r="S303" s="95"/>
      <c r="T303" s="95"/>
      <c r="U303" s="95"/>
      <c r="V303" s="95"/>
      <c r="W303" s="95"/>
      <c r="X303" s="95"/>
      <c r="Y303" s="95"/>
      <c r="Z303" s="95"/>
      <c r="AA303" s="95"/>
      <c r="AB303" s="95"/>
      <c r="AC303" s="95"/>
    </row>
    <row r="304" ht="15.75" customHeight="1" spans="1:29">
      <c r="A304" s="95"/>
      <c r="B304" s="95"/>
      <c r="C304" s="102" t="str">
        <f>IFERROR(__xludf.DUMMYFUNCTION("""COMPUTED_VALUE"""),"ESCOLA MUNICIPAL ALMIRANTE TAMANDARE")</f>
        <v>ESCOLA MUNICIPAL ALMIRANTE TAMANDARE</v>
      </c>
      <c r="D304" s="95" t="str">
        <f>IFERROR(__xludf.DUMMYFUNCTION("""COMPUTED_VALUE"""),"INFANTIL 5")</f>
        <v>INFANTIL 5</v>
      </c>
      <c r="E304" s="95" t="str">
        <f>IFERROR(__xludf.DUMMYFUNCTION("""COMPUTED_VALUE"""),"Vespertino/Tarde")</f>
        <v>Vespertino/Tarde</v>
      </c>
      <c r="F304" s="95" t="str">
        <f>IFERROR(__xludf.DUMMYFUNCTION("""COMPUTED_VALUE"""),"Comum")</f>
        <v>Comum</v>
      </c>
      <c r="G304" s="95" t="str">
        <f>IFERROR(__xludf.DUMMYFUNCTION("""COMPUTED_VALUE"""),"1")</f>
        <v>1</v>
      </c>
      <c r="H304" s="95" t="str">
        <f>IFERROR(__xludf.DUMMYFUNCTION("""COMPUTED_VALUE"""),"26022576294")</f>
        <v>26022576294</v>
      </c>
      <c r="I304" s="105" t="str">
        <f>IFERROR(__xludf.DUMMYFUNCTION("""COMPUTED_VALUE"""),"25/02/2026 15:33:50")</f>
        <v>25/02/2026 15:33:50</v>
      </c>
      <c r="J304" s="95" t="str">
        <f>IFERROR(__xludf.DUMMYFUNCTION("""COMPUTED_VALUE"""),"ANNA JÚLIA CAMPELO DOS SANTOS")</f>
        <v>ANNA JÚLIA CAMPELO DOS SANTOS</v>
      </c>
      <c r="K304" s="95" t="str">
        <f>IFERROR(__xludf.DUMMYFUNCTION("""COMPUTED_VALUE"""),"174.878.864-76")</f>
        <v>174.878.864-76</v>
      </c>
      <c r="L304" s="106" t="str">
        <f>IFERROR(__xludf.DUMMYFUNCTION("""COMPUTED_VALUE"""),"02/01/2021")</f>
        <v>02/01/2021</v>
      </c>
      <c r="M304" s="104"/>
      <c r="N304" s="95" t="str">
        <f>IFERROR(__xludf.DUMMYFUNCTION("""COMPUTED_VALUE"""),"0")</f>
        <v>0</v>
      </c>
      <c r="O304" s="95"/>
      <c r="P304" s="95"/>
      <c r="Q304" s="95"/>
      <c r="R304" s="95"/>
      <c r="S304" s="95"/>
      <c r="T304" s="95"/>
      <c r="U304" s="95"/>
      <c r="V304" s="95"/>
      <c r="W304" s="95"/>
      <c r="X304" s="95"/>
      <c r="Y304" s="95"/>
      <c r="Z304" s="95"/>
      <c r="AA304" s="95"/>
      <c r="AB304" s="95"/>
      <c r="AC304" s="95"/>
    </row>
    <row r="305" ht="15.75" customHeight="1" spans="1:29">
      <c r="A305" s="95"/>
      <c r="B305" s="95"/>
      <c r="C305" s="102" t="str">
        <f>IFERROR(__xludf.DUMMYFUNCTION("""COMPUTED_VALUE"""),"ESCOLA MUNICIPAL ALMIRANTE TAMANDARE")</f>
        <v>ESCOLA MUNICIPAL ALMIRANTE TAMANDARE</v>
      </c>
      <c r="D305" s="95" t="str">
        <f>IFERROR(__xludf.DUMMYFUNCTION("""COMPUTED_VALUE"""),"INFANTIL 5")</f>
        <v>INFANTIL 5</v>
      </c>
      <c r="E305" s="95" t="str">
        <f>IFERROR(__xludf.DUMMYFUNCTION("""COMPUTED_VALUE"""),"Vespertino/Tarde")</f>
        <v>Vespertino/Tarde</v>
      </c>
      <c r="F305" s="95" t="str">
        <f>IFERROR(__xludf.DUMMYFUNCTION("""COMPUTED_VALUE"""),"Comum")</f>
        <v>Comum</v>
      </c>
      <c r="G305" s="95" t="str">
        <f>IFERROR(__xludf.DUMMYFUNCTION("""COMPUTED_VALUE"""),"2")</f>
        <v>2</v>
      </c>
      <c r="H305" s="95" t="str">
        <f>IFERROR(__xludf.DUMMYFUNCTION("""COMPUTED_VALUE"""),"26022573901")</f>
        <v>26022573901</v>
      </c>
      <c r="I305" s="103" t="str">
        <f>IFERROR(__xludf.DUMMYFUNCTION("""COMPUTED_VALUE"""),"26/02/2026 13:57:57")</f>
        <v>26/02/2026 13:57:57</v>
      </c>
      <c r="J305" s="95" t="str">
        <f>IFERROR(__xludf.DUMMYFUNCTION("""COMPUTED_VALUE"""),"AYLLAHADASSAGOMESDASILVA")</f>
        <v>AYLLAHADASSAGOMESDASILVA</v>
      </c>
      <c r="K305" s="95" t="str">
        <f>IFERROR(__xludf.DUMMYFUNCTION("""COMPUTED_VALUE"""),"183.304.394-45")</f>
        <v>183.304.394-45</v>
      </c>
      <c r="L305" s="104" t="str">
        <f>IFERROR(__xludf.DUMMYFUNCTION("""COMPUTED_VALUE"""),"01/01/2021")</f>
        <v>01/01/2021</v>
      </c>
      <c r="M305" s="104"/>
      <c r="N305" s="95" t="str">
        <f>IFERROR(__xludf.DUMMYFUNCTION("""COMPUTED_VALUE"""),"0")</f>
        <v>0</v>
      </c>
      <c r="O305" s="95"/>
      <c r="P305" s="95"/>
      <c r="Q305" s="95"/>
      <c r="R305" s="95"/>
      <c r="S305" s="95"/>
      <c r="T305" s="95"/>
      <c r="U305" s="95"/>
      <c r="V305" s="95"/>
      <c r="W305" s="95"/>
      <c r="X305" s="95"/>
      <c r="Y305" s="95"/>
      <c r="Z305" s="95"/>
      <c r="AA305" s="95"/>
      <c r="AB305" s="95"/>
      <c r="AC305" s="95"/>
    </row>
    <row r="306" ht="15.75" customHeight="1" spans="1:29">
      <c r="A306" s="95"/>
      <c r="B306" s="95"/>
      <c r="C306" s="102" t="str">
        <f>IFERROR(__xludf.DUMMYFUNCTION("""COMPUTED_VALUE"""),"ESCOLA MUNICIPAL ALMIRANTE TAMANDARE")</f>
        <v>ESCOLA MUNICIPAL ALMIRANTE TAMANDARE</v>
      </c>
      <c r="D306" s="95" t="str">
        <f>IFERROR(__xludf.DUMMYFUNCTION("""COMPUTED_VALUE"""),"INFANTIL 5")</f>
        <v>INFANTIL 5</v>
      </c>
      <c r="E306" s="95" t="str">
        <f>IFERROR(__xludf.DUMMYFUNCTION("""COMPUTED_VALUE"""),"Vespertino/Tarde")</f>
        <v>Vespertino/Tarde</v>
      </c>
      <c r="F306" s="95" t="str">
        <f>IFERROR(__xludf.DUMMYFUNCTION("""COMPUTED_VALUE"""),"Comum")</f>
        <v>Comum</v>
      </c>
      <c r="G306" s="95" t="str">
        <f>IFERROR(__xludf.DUMMYFUNCTION("""COMPUTED_VALUE"""),"3")</f>
        <v>3</v>
      </c>
      <c r="H306" s="95" t="str">
        <f>IFERROR(__xludf.DUMMYFUNCTION("""COMPUTED_VALUE"""),"26052111146")</f>
        <v>26052111146</v>
      </c>
      <c r="I306" s="103" t="str">
        <f>IFERROR(__xludf.DUMMYFUNCTION("""COMPUTED_VALUE"""),"06/05/2026 08:39:09")</f>
        <v>06/05/2026 08:39:09</v>
      </c>
      <c r="J306" s="95" t="str">
        <f>IFERROR(__xludf.DUMMYFUNCTION("""COMPUTED_VALUE"""),"GABRIELA EMANUELY LEITE SANTOS")</f>
        <v>GABRIELA EMANUELY LEITE SANTOS</v>
      </c>
      <c r="K306" s="95" t="str">
        <f>IFERROR(__xludf.DUMMYFUNCTION("""COMPUTED_VALUE"""),"122.198.115-30")</f>
        <v>122.198.115-30</v>
      </c>
      <c r="L306" s="104" t="str">
        <f>IFERROR(__xludf.DUMMYFUNCTION("""COMPUTED_VALUE"""),"31/10/2020")</f>
        <v>31/10/2020</v>
      </c>
      <c r="M306" s="104"/>
      <c r="N306" s="95" t="str">
        <f>IFERROR(__xludf.DUMMYFUNCTION("""COMPUTED_VALUE"""),"0")</f>
        <v>0</v>
      </c>
      <c r="O306" s="95"/>
      <c r="P306" s="95"/>
      <c r="Q306" s="95"/>
      <c r="R306" s="95"/>
      <c r="S306" s="95"/>
      <c r="T306" s="95"/>
      <c r="U306" s="95"/>
      <c r="V306" s="95"/>
      <c r="W306" s="95"/>
      <c r="X306" s="95"/>
      <c r="Y306" s="95"/>
      <c r="Z306" s="95"/>
      <c r="AA306" s="95"/>
      <c r="AB306" s="95"/>
      <c r="AC306" s="95"/>
    </row>
    <row r="307" ht="15.75" customHeight="1" spans="1:29">
      <c r="A307" s="95"/>
      <c r="B307" s="95"/>
      <c r="C307" s="102" t="str">
        <f>IFERROR(__xludf.DUMMYFUNCTION("""COMPUTED_VALUE"""),"ESCOLA MUNICIPAL D EMERY CARNEIRO")</f>
        <v>ESCOLA MUNICIPAL D EMERY CARNEIRO</v>
      </c>
      <c r="D307" s="95" t="str">
        <f>IFERROR(__xludf.DUMMYFUNCTION("""COMPUTED_VALUE"""),"INFANTIL 4")</f>
        <v>INFANTIL 4</v>
      </c>
      <c r="E307" s="95" t="str">
        <f>IFERROR(__xludf.DUMMYFUNCTION("""COMPUTED_VALUE"""),"Vespertino/Tarde")</f>
        <v>Vespertino/Tarde</v>
      </c>
      <c r="F307" s="95" t="str">
        <f>IFERROR(__xludf.DUMMYFUNCTION("""COMPUTED_VALUE"""),"Comum")</f>
        <v>Comum</v>
      </c>
      <c r="G307" s="95" t="str">
        <f>IFERROR(__xludf.DUMMYFUNCTION("""COMPUTED_VALUE"""),"1")</f>
        <v>1</v>
      </c>
      <c r="H307" s="95" t="str">
        <f>IFERROR(__xludf.DUMMYFUNCTION("""COMPUTED_VALUE"""),"26052808259")</f>
        <v>26052808259</v>
      </c>
      <c r="I307" s="103" t="str">
        <f>IFERROR(__xludf.DUMMYFUNCTION("""COMPUTED_VALUE"""),"13/05/2026 15:16:04")</f>
        <v>13/05/2026 15:16:04</v>
      </c>
      <c r="J307" s="95" t="str">
        <f>IFERROR(__xludf.DUMMYFUNCTION("""COMPUTED_VALUE"""),"PEDRO HENRIQUE FERREIRA DA SILVA")</f>
        <v>PEDRO HENRIQUE FERREIRA DA SILVA</v>
      </c>
      <c r="K307" s="95" t="str">
        <f>IFERROR(__xludf.DUMMYFUNCTION("""COMPUTED_VALUE"""),"180.894.584-08")</f>
        <v>180.894.584-08</v>
      </c>
      <c r="L307" s="104" t="str">
        <f>IFERROR(__xludf.DUMMYFUNCTION("""COMPUTED_VALUE"""),"18/03/2022")</f>
        <v>18/03/2022</v>
      </c>
      <c r="M307" s="104"/>
      <c r="N307" s="95" t="str">
        <f>IFERROR(__xludf.DUMMYFUNCTION("""COMPUTED_VALUE"""),"0")</f>
        <v>0</v>
      </c>
      <c r="O307" s="95"/>
      <c r="P307" s="95"/>
      <c r="Q307" s="95"/>
      <c r="R307" s="95"/>
      <c r="S307" s="95"/>
      <c r="T307" s="95"/>
      <c r="U307" s="95"/>
      <c r="V307" s="95"/>
      <c r="W307" s="95"/>
      <c r="X307" s="95"/>
      <c r="Y307" s="95"/>
      <c r="Z307" s="95"/>
      <c r="AA307" s="95"/>
      <c r="AB307" s="95"/>
      <c r="AC307" s="95"/>
    </row>
    <row r="308" ht="15.75" customHeight="1" spans="1:29">
      <c r="A308" s="95"/>
      <c r="B308" s="95"/>
      <c r="C308" s="102" t="str">
        <f>IFERROR(__xludf.DUMMYFUNCTION("""COMPUTED_VALUE"""),"ESCOLA MUNICIPAL DAVINO TENORIO")</f>
        <v>ESCOLA MUNICIPAL DAVINO TENORIO</v>
      </c>
      <c r="D308" s="95" t="str">
        <f>IFERROR(__xludf.DUMMYFUNCTION("""COMPUTED_VALUE"""),"INFANTIL 4")</f>
        <v>INFANTIL 4</v>
      </c>
      <c r="E308" s="95" t="str">
        <f>IFERROR(__xludf.DUMMYFUNCTION("""COMPUTED_VALUE"""),"Vespertino/Tarde")</f>
        <v>Vespertino/Tarde</v>
      </c>
      <c r="F308" s="95" t="str">
        <f>IFERROR(__xludf.DUMMYFUNCTION("""COMPUTED_VALUE"""),"Comum")</f>
        <v>Comum</v>
      </c>
      <c r="G308" s="95" t="str">
        <f>IFERROR(__xludf.DUMMYFUNCTION("""COMPUTED_VALUE"""),"1")</f>
        <v>1</v>
      </c>
      <c r="H308" s="95" t="str">
        <f>IFERROR(__xludf.DUMMYFUNCTION("""COMPUTED_VALUE"""),"26022028644")</f>
        <v>26022028644</v>
      </c>
      <c r="I308" s="105" t="str">
        <f>IFERROR(__xludf.DUMMYFUNCTION("""COMPUTED_VALUE"""),"28/02/2026 09:06:10")</f>
        <v>28/02/2026 09:06:10</v>
      </c>
      <c r="J308" s="95" t="str">
        <f>IFERROR(__xludf.DUMMYFUNCTION("""COMPUTED_VALUE"""),"THEO VICTOR SOARES DA SILVA")</f>
        <v>THEO VICTOR SOARES DA SILVA</v>
      </c>
      <c r="K308" s="95" t="str">
        <f>IFERROR(__xludf.DUMMYFUNCTION("""COMPUTED_VALUE"""),"178.694.054-00")</f>
        <v>178.694.054-00</v>
      </c>
      <c r="L308" s="104" t="str">
        <f>IFERROR(__xludf.DUMMYFUNCTION("""COMPUTED_VALUE"""),"12/09/2021")</f>
        <v>12/09/2021</v>
      </c>
      <c r="M308" s="104"/>
      <c r="N308" s="95" t="str">
        <f>IFERROR(__xludf.DUMMYFUNCTION("""COMPUTED_VALUE"""),"0")</f>
        <v>0</v>
      </c>
      <c r="O308" s="95"/>
      <c r="P308" s="95"/>
      <c r="Q308" s="95"/>
      <c r="R308" s="95"/>
      <c r="S308" s="95"/>
      <c r="T308" s="95"/>
      <c r="U308" s="95"/>
      <c r="V308" s="95"/>
      <c r="W308" s="95"/>
      <c r="X308" s="95"/>
      <c r="Y308" s="95"/>
      <c r="Z308" s="95"/>
      <c r="AA308" s="95"/>
      <c r="AB308" s="95"/>
      <c r="AC308" s="95"/>
    </row>
    <row r="309" ht="15.75" customHeight="1" spans="1:29">
      <c r="A309" s="95"/>
      <c r="B309" s="95"/>
      <c r="C309" s="102" t="str">
        <f>IFERROR(__xludf.DUMMYFUNCTION("""COMPUTED_VALUE"""),"ESCOLA MUNICIPAL DAVINO TENORIO")</f>
        <v>ESCOLA MUNICIPAL DAVINO TENORIO</v>
      </c>
      <c r="D309" s="95" t="str">
        <f>IFERROR(__xludf.DUMMYFUNCTION("""COMPUTED_VALUE"""),"INFANTIL 4")</f>
        <v>INFANTIL 4</v>
      </c>
      <c r="E309" s="95" t="str">
        <f>IFERROR(__xludf.DUMMYFUNCTION("""COMPUTED_VALUE"""),"Vespertino/Tarde")</f>
        <v>Vespertino/Tarde</v>
      </c>
      <c r="F309" s="95" t="str">
        <f>IFERROR(__xludf.DUMMYFUNCTION("""COMPUTED_VALUE"""),"Comum")</f>
        <v>Comum</v>
      </c>
      <c r="G309" s="95" t="str">
        <f>IFERROR(__xludf.DUMMYFUNCTION("""COMPUTED_VALUE"""),"2")</f>
        <v>2</v>
      </c>
      <c r="H309" s="95" t="str">
        <f>IFERROR(__xludf.DUMMYFUNCTION("""COMPUTED_VALUE"""),"26042217151")</f>
        <v>26042217151</v>
      </c>
      <c r="I309" s="105" t="str">
        <f>IFERROR(__xludf.DUMMYFUNCTION("""COMPUTED_VALUE"""),"22/04/2026 12:05:06")</f>
        <v>22/04/2026 12:05:06</v>
      </c>
      <c r="J309" s="95" t="str">
        <f>IFERROR(__xludf.DUMMYFUNCTION("""COMPUTED_VALUE"""),"HENRY MIGUEL FAUSTINO")</f>
        <v>HENRY MIGUEL FAUSTINO</v>
      </c>
      <c r="K309" s="95" t="str">
        <f>IFERROR(__xludf.DUMMYFUNCTION("""COMPUTED_VALUE"""),"180.558.524-05")</f>
        <v>180.558.524-05</v>
      </c>
      <c r="L309" s="104" t="str">
        <f>IFERROR(__xludf.DUMMYFUNCTION("""COMPUTED_VALUE"""),"25/01/2022")</f>
        <v>25/01/2022</v>
      </c>
      <c r="M309" s="104"/>
      <c r="N309" s="95" t="str">
        <f>IFERROR(__xludf.DUMMYFUNCTION("""COMPUTED_VALUE"""),"0")</f>
        <v>0</v>
      </c>
      <c r="O309" s="95"/>
      <c r="P309" s="95"/>
      <c r="Q309" s="95"/>
      <c r="R309" s="95"/>
      <c r="S309" s="95"/>
      <c r="T309" s="95"/>
      <c r="U309" s="95"/>
      <c r="V309" s="95"/>
      <c r="W309" s="95"/>
      <c r="X309" s="95"/>
      <c r="Y309" s="95"/>
      <c r="Z309" s="95"/>
      <c r="AA309" s="95"/>
      <c r="AB309" s="95"/>
      <c r="AC309" s="95"/>
    </row>
    <row r="310" ht="15.75" customHeight="1" spans="1:29">
      <c r="A310" s="95"/>
      <c r="B310" s="95"/>
      <c r="C310" s="102" t="str">
        <f>IFERROR(__xludf.DUMMYFUNCTION("""COMPUTED_VALUE"""),"ESCOLA MUNICIPAL DOUTOR MAURÍCIO MARTINS DE ALBUQUERQUE")</f>
        <v>ESCOLA MUNICIPAL DOUTOR MAURÍCIO MARTINS DE ALBUQUERQUE</v>
      </c>
      <c r="D310" s="95" t="str">
        <f>IFERROR(__xludf.DUMMYFUNCTION("""COMPUTED_VALUE"""),"INFANTIL 5")</f>
        <v>INFANTIL 5</v>
      </c>
      <c r="E310" s="95" t="str">
        <f>IFERROR(__xludf.DUMMYFUNCTION("""COMPUTED_VALUE"""),"Vespertino/Tarde")</f>
        <v>Vespertino/Tarde</v>
      </c>
      <c r="F310" s="95" t="str">
        <f>IFERROR(__xludf.DUMMYFUNCTION("""COMPUTED_VALUE"""),"Comum")</f>
        <v>Comum</v>
      </c>
      <c r="G310" s="95" t="str">
        <f>IFERROR(__xludf.DUMMYFUNCTION("""COMPUTED_VALUE"""),"1")</f>
        <v>1</v>
      </c>
      <c r="H310" s="95" t="str">
        <f>IFERROR(__xludf.DUMMYFUNCTION("""COMPUTED_VALUE"""),"26032440829")</f>
        <v>26032440829</v>
      </c>
      <c r="I310" s="105" t="str">
        <f>IFERROR(__xludf.DUMMYFUNCTION("""COMPUTED_VALUE"""),"05/03/2026 10:57:10")</f>
        <v>05/03/2026 10:57:10</v>
      </c>
      <c r="J310" s="95" t="str">
        <f>IFERROR(__xludf.DUMMYFUNCTION("""COMPUTED_VALUE"""),"LETICIA MICAELI SANTOS DA SILVA")</f>
        <v>LETICIA MICAELI SANTOS DA SILVA</v>
      </c>
      <c r="K310" s="95" t="str">
        <f>IFERROR(__xludf.DUMMYFUNCTION("""COMPUTED_VALUE"""),"176.243.264-18")</f>
        <v>176.243.264-18</v>
      </c>
      <c r="L310" s="104" t="str">
        <f>IFERROR(__xludf.DUMMYFUNCTION("""COMPUTED_VALUE"""),"19/03/2021")</f>
        <v>19/03/2021</v>
      </c>
      <c r="M310" s="104"/>
      <c r="N310" s="95" t="str">
        <f>IFERROR(__xludf.DUMMYFUNCTION("""COMPUTED_VALUE"""),"0")</f>
        <v>0</v>
      </c>
      <c r="O310" s="95"/>
      <c r="P310" s="95"/>
      <c r="Q310" s="95"/>
      <c r="R310" s="95"/>
      <c r="S310" s="95"/>
      <c r="T310" s="95"/>
      <c r="U310" s="95"/>
      <c r="V310" s="95"/>
      <c r="W310" s="95"/>
      <c r="X310" s="95"/>
      <c r="Y310" s="95"/>
      <c r="Z310" s="95"/>
      <c r="AA310" s="95"/>
      <c r="AB310" s="95"/>
      <c r="AC310" s="95"/>
    </row>
    <row r="311" ht="15.75" customHeight="1" spans="1:29">
      <c r="A311" s="95"/>
      <c r="B311" s="95"/>
      <c r="C311" s="102" t="str">
        <f>IFERROR(__xludf.DUMMYFUNCTION("""COMPUTED_VALUE"""),"ESCOLA MUNICIPAL DR LUIZ REGUEIRA")</f>
        <v>ESCOLA MUNICIPAL DR LUIZ REGUEIRA</v>
      </c>
      <c r="D311" s="95" t="str">
        <f>IFERROR(__xludf.DUMMYFUNCTION("""COMPUTED_VALUE"""),"INFANTIL 4")</f>
        <v>INFANTIL 4</v>
      </c>
      <c r="E311" s="95" t="str">
        <f>IFERROR(__xludf.DUMMYFUNCTION("""COMPUTED_VALUE"""),"Matutino/Manhã")</f>
        <v>Matutino/Manhã</v>
      </c>
      <c r="F311" s="95" t="str">
        <f>IFERROR(__xludf.DUMMYFUNCTION("""COMPUTED_VALUE"""),"Comum")</f>
        <v>Comum</v>
      </c>
      <c r="G311" s="95" t="str">
        <f>IFERROR(__xludf.DUMMYFUNCTION("""COMPUTED_VALUE"""),"1")</f>
        <v>1</v>
      </c>
      <c r="H311" s="95" t="str">
        <f>IFERROR(__xludf.DUMMYFUNCTION("""COMPUTED_VALUE"""),"26022999479")</f>
        <v>26022999479</v>
      </c>
      <c r="I311" s="105" t="str">
        <f>IFERROR(__xludf.DUMMYFUNCTION("""COMPUTED_VALUE"""),"05/02/2026 22:30:30")</f>
        <v>05/02/2026 22:30:30</v>
      </c>
      <c r="J311" s="95" t="str">
        <f>IFERROR(__xludf.DUMMYFUNCTION("""COMPUTED_VALUE"""),"ANA PATRÍCIA DOS SANTOS BARBOSA")</f>
        <v>ANA PATRÍCIA DOS SANTOS BARBOSA</v>
      </c>
      <c r="K311" s="95" t="str">
        <f>IFERROR(__xludf.DUMMYFUNCTION("""COMPUTED_VALUE"""),"183.574.814-77")</f>
        <v>183.574.814-77</v>
      </c>
      <c r="L311" s="104" t="str">
        <f>IFERROR(__xludf.DUMMYFUNCTION("""COMPUTED_VALUE"""),"01/04/2021")</f>
        <v>01/04/2021</v>
      </c>
      <c r="M311" s="104"/>
      <c r="N311" s="95" t="str">
        <f>IFERROR(__xludf.DUMMYFUNCTION("""COMPUTED_VALUE"""),"0")</f>
        <v>0</v>
      </c>
      <c r="O311" s="95"/>
      <c r="P311" s="95"/>
      <c r="Q311" s="95"/>
      <c r="R311" s="95"/>
      <c r="S311" s="95"/>
      <c r="T311" s="95"/>
      <c r="U311" s="95"/>
      <c r="V311" s="95"/>
      <c r="W311" s="95"/>
      <c r="X311" s="95"/>
      <c r="Y311" s="95"/>
      <c r="Z311" s="95"/>
      <c r="AA311" s="95"/>
      <c r="AB311" s="95"/>
      <c r="AC311" s="95"/>
    </row>
    <row r="312" ht="15.75" customHeight="1" spans="1:29">
      <c r="A312" s="95"/>
      <c r="B312" s="95"/>
      <c r="C312" s="102" t="str">
        <f>IFERROR(__xludf.DUMMYFUNCTION("""COMPUTED_VALUE"""),"ESCOLA MUNICIPAL DR LUIZ REGUEIRA")</f>
        <v>ESCOLA MUNICIPAL DR LUIZ REGUEIRA</v>
      </c>
      <c r="D312" s="95" t="str">
        <f>IFERROR(__xludf.DUMMYFUNCTION("""COMPUTED_VALUE"""),"INFANTIL 4")</f>
        <v>INFANTIL 4</v>
      </c>
      <c r="E312" s="95" t="str">
        <f>IFERROR(__xludf.DUMMYFUNCTION("""COMPUTED_VALUE"""),"Matutino/Manhã")</f>
        <v>Matutino/Manhã</v>
      </c>
      <c r="F312" s="95" t="str">
        <f>IFERROR(__xludf.DUMMYFUNCTION("""COMPUTED_VALUE"""),"Comum")</f>
        <v>Comum</v>
      </c>
      <c r="G312" s="95" t="str">
        <f>IFERROR(__xludf.DUMMYFUNCTION("""COMPUTED_VALUE"""),"2")</f>
        <v>2</v>
      </c>
      <c r="H312" s="95" t="str">
        <f>IFERROR(__xludf.DUMMYFUNCTION("""COMPUTED_VALUE"""),"26022098436")</f>
        <v>26022098436</v>
      </c>
      <c r="I312" s="105" t="str">
        <f>IFERROR(__xludf.DUMMYFUNCTION("""COMPUTED_VALUE"""),"06/02/2026 09:49:18")</f>
        <v>06/02/2026 09:49:18</v>
      </c>
      <c r="J312" s="95" t="str">
        <f>IFERROR(__xludf.DUMMYFUNCTION("""COMPUTED_VALUE"""),"ARYELLE VITÓRIA AMARANTE DE AMORIM")</f>
        <v>ARYELLE VITÓRIA AMARANTE DE AMORIM</v>
      </c>
      <c r="K312" s="95" t="str">
        <f>IFERROR(__xludf.DUMMYFUNCTION("""COMPUTED_VALUE"""),"178.248.454-00")</f>
        <v>178.248.454-00</v>
      </c>
      <c r="L312" s="104" t="str">
        <f>IFERROR(__xludf.DUMMYFUNCTION("""COMPUTED_VALUE"""),"18/08/2021")</f>
        <v>18/08/2021</v>
      </c>
      <c r="M312" s="104"/>
      <c r="N312" s="95" t="str">
        <f>IFERROR(__xludf.DUMMYFUNCTION("""COMPUTED_VALUE"""),"0")</f>
        <v>0</v>
      </c>
      <c r="O312" s="95"/>
      <c r="P312" s="95"/>
      <c r="Q312" s="95"/>
      <c r="R312" s="95"/>
      <c r="S312" s="95"/>
      <c r="T312" s="95"/>
      <c r="U312" s="95"/>
      <c r="V312" s="95"/>
      <c r="W312" s="95"/>
      <c r="X312" s="95"/>
      <c r="Y312" s="95"/>
      <c r="Z312" s="95"/>
      <c r="AA312" s="95"/>
      <c r="AB312" s="95"/>
      <c r="AC312" s="95"/>
    </row>
    <row r="313" ht="15.75" customHeight="1" spans="1:29">
      <c r="A313" s="95"/>
      <c r="B313" s="95"/>
      <c r="C313" s="102" t="str">
        <f>IFERROR(__xludf.DUMMYFUNCTION("""COMPUTED_VALUE"""),"ESCOLA MUNICIPAL JOSE CLAUDINO DA SILVA")</f>
        <v>ESCOLA MUNICIPAL JOSE CLAUDINO DA SILVA</v>
      </c>
      <c r="D313" s="95" t="str">
        <f>IFERROR(__xludf.DUMMYFUNCTION("""COMPUTED_VALUE"""),"INFANTIL 4")</f>
        <v>INFANTIL 4</v>
      </c>
      <c r="E313" s="95" t="str">
        <f>IFERROR(__xludf.DUMMYFUNCTION("""COMPUTED_VALUE"""),"Vespertino/Tarde")</f>
        <v>Vespertino/Tarde</v>
      </c>
      <c r="F313" s="95" t="str">
        <f>IFERROR(__xludf.DUMMYFUNCTION("""COMPUTED_VALUE"""),"Comum")</f>
        <v>Comum</v>
      </c>
      <c r="G313" s="95" t="str">
        <f>IFERROR(__xludf.DUMMYFUNCTION("""COMPUTED_VALUE"""),"1")</f>
        <v>1</v>
      </c>
      <c r="H313" s="95" t="str">
        <f>IFERROR(__xludf.DUMMYFUNCTION("""COMPUTED_VALUE"""),"26052212613")</f>
        <v>26052212613</v>
      </c>
      <c r="I313" s="105" t="str">
        <f>IFERROR(__xludf.DUMMYFUNCTION("""COMPUTED_VALUE"""),"07/05/2026 18:54:45")</f>
        <v>07/05/2026 18:54:45</v>
      </c>
      <c r="J313" s="95" t="str">
        <f>IFERROR(__xludf.DUMMYFUNCTION("""COMPUTED_VALUE"""),"REBECA MANUELLA CHALEGRE FIRMINO")</f>
        <v>REBECA MANUELLA CHALEGRE FIRMINO</v>
      </c>
      <c r="K313" s="95" t="str">
        <f>IFERROR(__xludf.DUMMYFUNCTION("""COMPUTED_VALUE"""),"177.110.124-54")</f>
        <v>177.110.124-54</v>
      </c>
      <c r="L313" s="106" t="str">
        <f>IFERROR(__xludf.DUMMYFUNCTION("""COMPUTED_VALUE"""),"15/06/2021")</f>
        <v>15/06/2021</v>
      </c>
      <c r="M313" s="106"/>
      <c r="N313" s="95" t="str">
        <f>IFERROR(__xludf.DUMMYFUNCTION("""COMPUTED_VALUE"""),"0")</f>
        <v>0</v>
      </c>
      <c r="O313" s="95"/>
      <c r="P313" s="95"/>
      <c r="Q313" s="95"/>
      <c r="R313" s="95"/>
      <c r="S313" s="95"/>
      <c r="T313" s="95"/>
      <c r="U313" s="95"/>
      <c r="V313" s="95"/>
      <c r="W313" s="95"/>
      <c r="X313" s="95"/>
      <c r="Y313" s="95"/>
      <c r="Z313" s="95"/>
      <c r="AA313" s="95"/>
      <c r="AB313" s="95"/>
      <c r="AC313" s="95"/>
    </row>
    <row r="314" ht="15.75" customHeight="1" spans="1:29">
      <c r="A314" s="95"/>
      <c r="B314" s="95"/>
      <c r="C314" s="102" t="str">
        <f>IFERROR(__xludf.DUMMYFUNCTION("""COMPUTED_VALUE"""),"ESCOLA MUNICIPAL JOSE RODOVALHO - ESCOLA DE TEMPO INTEGRAL")</f>
        <v>ESCOLA MUNICIPAL JOSE RODOVALHO - ESCOLA DE TEMPO INTEGRAL</v>
      </c>
      <c r="D314" s="95" t="str">
        <f>IFERROR(__xludf.DUMMYFUNCTION("""COMPUTED_VALUE"""),"INFANTIL 4")</f>
        <v>INFANTIL 4</v>
      </c>
      <c r="E314" s="95" t="str">
        <f>IFERROR(__xludf.DUMMYFUNCTION("""COMPUTED_VALUE"""),"Integral")</f>
        <v>Integral</v>
      </c>
      <c r="F314" s="95" t="str">
        <f>IFERROR(__xludf.DUMMYFUNCTION("""COMPUTED_VALUE"""),"Comum")</f>
        <v>Comum</v>
      </c>
      <c r="G314" s="95" t="str">
        <f>IFERROR(__xludf.DUMMYFUNCTION("""COMPUTED_VALUE"""),"1")</f>
        <v>1</v>
      </c>
      <c r="H314" s="95" t="str">
        <f>IFERROR(__xludf.DUMMYFUNCTION("""COMPUTED_VALUE"""),"26012020968")</f>
        <v>26012020968</v>
      </c>
      <c r="I314" s="105" t="str">
        <f>IFERROR(__xludf.DUMMYFUNCTION("""COMPUTED_VALUE"""),"28/01/2026 14:32:33")</f>
        <v>28/01/2026 14:32:33</v>
      </c>
      <c r="J314" s="95" t="str">
        <f>IFERROR(__xludf.DUMMYFUNCTION("""COMPUTED_VALUE"""),"VICTORIA EMANUELLY CELESTINA DOS SANTOS")</f>
        <v>VICTORIA EMANUELLY CELESTINA DOS SANTOS</v>
      </c>
      <c r="K314" s="95" t="str">
        <f>IFERROR(__xludf.DUMMYFUNCTION("""COMPUTED_VALUE"""),"176.305.804-28")</f>
        <v>176.305.804-28</v>
      </c>
      <c r="L314" s="104" t="str">
        <f>IFERROR(__xludf.DUMMYFUNCTION("""COMPUTED_VALUE"""),"09/04/2021")</f>
        <v>09/04/2021</v>
      </c>
      <c r="M314" s="104"/>
      <c r="N314" s="95" t="str">
        <f>IFERROR(__xludf.DUMMYFUNCTION("""COMPUTED_VALUE"""),"0")</f>
        <v>0</v>
      </c>
      <c r="O314" s="95"/>
      <c r="P314" s="95"/>
      <c r="Q314" s="95"/>
      <c r="R314" s="95"/>
      <c r="S314" s="95"/>
      <c r="T314" s="95"/>
      <c r="U314" s="95"/>
      <c r="V314" s="95"/>
      <c r="W314" s="95"/>
      <c r="X314" s="95"/>
      <c r="Y314" s="95"/>
      <c r="Z314" s="95"/>
      <c r="AA314" s="95"/>
      <c r="AB314" s="95"/>
      <c r="AC314" s="95"/>
    </row>
    <row r="315" ht="15.75" customHeight="1" spans="1:29">
      <c r="A315" s="95"/>
      <c r="B315" s="95"/>
      <c r="C315" s="102" t="str">
        <f>IFERROR(__xludf.DUMMYFUNCTION("""COMPUTED_VALUE"""),"ESCOLA MUNICIPAL JOSE RODOVALHO - ESCOLA DE TEMPO INTEGRAL")</f>
        <v>ESCOLA MUNICIPAL JOSE RODOVALHO - ESCOLA DE TEMPO INTEGRAL</v>
      </c>
      <c r="D315" s="95" t="str">
        <f>IFERROR(__xludf.DUMMYFUNCTION("""COMPUTED_VALUE"""),"INFANTIL 4")</f>
        <v>INFANTIL 4</v>
      </c>
      <c r="E315" s="95" t="str">
        <f>IFERROR(__xludf.DUMMYFUNCTION("""COMPUTED_VALUE"""),"Integral")</f>
        <v>Integral</v>
      </c>
      <c r="F315" s="95" t="str">
        <f>IFERROR(__xludf.DUMMYFUNCTION("""COMPUTED_VALUE"""),"Comum")</f>
        <v>Comum</v>
      </c>
      <c r="G315" s="95" t="str">
        <f>IFERROR(__xludf.DUMMYFUNCTION("""COMPUTED_VALUE"""),"2")</f>
        <v>2</v>
      </c>
      <c r="H315" s="95" t="str">
        <f>IFERROR(__xludf.DUMMYFUNCTION("""COMPUTED_VALUE"""),"26032677956")</f>
        <v>26032677956</v>
      </c>
      <c r="I315" s="105" t="str">
        <f>IFERROR(__xludf.DUMMYFUNCTION("""COMPUTED_VALUE"""),"19/03/2026 13:56:18")</f>
        <v>19/03/2026 13:56:18</v>
      </c>
      <c r="J315" s="95" t="str">
        <f>IFERROR(__xludf.DUMMYFUNCTION("""COMPUTED_VALUE"""),"PIETRO DINIZ SANTOS DA SILVA")</f>
        <v>PIETRO DINIZ SANTOS DA SILVA</v>
      </c>
      <c r="K315" s="95" t="str">
        <f>IFERROR(__xludf.DUMMYFUNCTION("""COMPUTED_VALUE"""),"176.766.404-40")</f>
        <v>176.766.404-40</v>
      </c>
      <c r="L315" s="104" t="str">
        <f>IFERROR(__xludf.DUMMYFUNCTION("""COMPUTED_VALUE"""),"20/05/2021")</f>
        <v>20/05/2021</v>
      </c>
      <c r="M315" s="104"/>
      <c r="N315" s="95" t="str">
        <f>IFERROR(__xludf.DUMMYFUNCTION("""COMPUTED_VALUE"""),"0")</f>
        <v>0</v>
      </c>
      <c r="O315" s="95"/>
      <c r="P315" s="95"/>
      <c r="Q315" s="95"/>
      <c r="R315" s="95"/>
      <c r="S315" s="95"/>
      <c r="T315" s="95"/>
      <c r="U315" s="95"/>
      <c r="V315" s="95"/>
      <c r="W315" s="95"/>
      <c r="X315" s="95"/>
      <c r="Y315" s="95"/>
      <c r="Z315" s="95"/>
      <c r="AA315" s="95"/>
      <c r="AB315" s="95"/>
      <c r="AC315" s="95"/>
    </row>
    <row r="316" ht="15.75" customHeight="1" spans="1:29">
      <c r="A316" s="95"/>
      <c r="B316" s="95"/>
      <c r="C316" s="102" t="str">
        <f>IFERROR(__xludf.DUMMYFUNCTION("""COMPUTED_VALUE"""),"ESCOLA MUNICIPAL JOSE RODOVALHO - ESCOLA DE TEMPO INTEGRAL")</f>
        <v>ESCOLA MUNICIPAL JOSE RODOVALHO - ESCOLA DE TEMPO INTEGRAL</v>
      </c>
      <c r="D316" s="95" t="str">
        <f>IFERROR(__xludf.DUMMYFUNCTION("""COMPUTED_VALUE"""),"INFANTIL 4")</f>
        <v>INFANTIL 4</v>
      </c>
      <c r="E316" s="95" t="str">
        <f>IFERROR(__xludf.DUMMYFUNCTION("""COMPUTED_VALUE"""),"Integral")</f>
        <v>Integral</v>
      </c>
      <c r="F316" s="95" t="str">
        <f>IFERROR(__xludf.DUMMYFUNCTION("""COMPUTED_VALUE"""),"Comum")</f>
        <v>Comum</v>
      </c>
      <c r="G316" s="95" t="str">
        <f>IFERROR(__xludf.DUMMYFUNCTION("""COMPUTED_VALUE"""),"3")</f>
        <v>3</v>
      </c>
      <c r="H316" s="95" t="str">
        <f>IFERROR(__xludf.DUMMYFUNCTION("""COMPUTED_VALUE"""),"26042544778")</f>
        <v>26042544778</v>
      </c>
      <c r="I316" s="105" t="str">
        <f>IFERROR(__xludf.DUMMYFUNCTION("""COMPUTED_VALUE"""),"23/04/2026 11:00:36")</f>
        <v>23/04/2026 11:00:36</v>
      </c>
      <c r="J316" s="95" t="str">
        <f>IFERROR(__xludf.DUMMYFUNCTION("""COMPUTED_VALUE"""),"HEITOR HENRIQUE DA SILVA CARNEIRO")</f>
        <v>HEITOR HENRIQUE DA SILVA CARNEIRO</v>
      </c>
      <c r="K316" s="95" t="str">
        <f>IFERROR(__xludf.DUMMYFUNCTION("""COMPUTED_VALUE"""),"180.105.184-41")</f>
        <v>180.105.184-41</v>
      </c>
      <c r="L316" s="104" t="str">
        <f>IFERROR(__xludf.DUMMYFUNCTION("""COMPUTED_VALUE"""),"26/11/2021")</f>
        <v>26/11/2021</v>
      </c>
      <c r="M316" s="106"/>
      <c r="N316" s="95" t="str">
        <f>IFERROR(__xludf.DUMMYFUNCTION("""COMPUTED_VALUE"""),"0")</f>
        <v>0</v>
      </c>
      <c r="O316" s="95"/>
      <c r="P316" s="95"/>
      <c r="Q316" s="95"/>
      <c r="R316" s="95"/>
      <c r="S316" s="95"/>
      <c r="T316" s="95"/>
      <c r="U316" s="95"/>
      <c r="V316" s="95"/>
      <c r="W316" s="95"/>
      <c r="X316" s="95"/>
      <c r="Y316" s="95"/>
      <c r="Z316" s="95"/>
      <c r="AA316" s="95"/>
      <c r="AB316" s="95"/>
      <c r="AC316" s="95"/>
    </row>
    <row r="317" ht="15.75" customHeight="1" spans="1:29">
      <c r="A317" s="95"/>
      <c r="B317" s="95"/>
      <c r="C317" s="102" t="str">
        <f>IFERROR(__xludf.DUMMYFUNCTION("""COMPUTED_VALUE"""),"ESCOLA MUNICIPAL JOSE RODOVALHO - ESCOLA DE TEMPO INTEGRAL")</f>
        <v>ESCOLA MUNICIPAL JOSE RODOVALHO - ESCOLA DE TEMPO INTEGRAL</v>
      </c>
      <c r="D317" s="95" t="str">
        <f>IFERROR(__xludf.DUMMYFUNCTION("""COMPUTED_VALUE"""),"INFANTIL 5")</f>
        <v>INFANTIL 5</v>
      </c>
      <c r="E317" s="95" t="str">
        <f>IFERROR(__xludf.DUMMYFUNCTION("""COMPUTED_VALUE"""),"Integral")</f>
        <v>Integral</v>
      </c>
      <c r="F317" s="95" t="str">
        <f>IFERROR(__xludf.DUMMYFUNCTION("""COMPUTED_VALUE"""),"Comum")</f>
        <v>Comum</v>
      </c>
      <c r="G317" s="95" t="str">
        <f>IFERROR(__xludf.DUMMYFUNCTION("""COMPUTED_VALUE"""),"1")</f>
        <v>1</v>
      </c>
      <c r="H317" s="95" t="str">
        <f>IFERROR(__xludf.DUMMYFUNCTION("""COMPUTED_VALUE"""),"26032154551")</f>
        <v>26032154551</v>
      </c>
      <c r="I317" s="105" t="str">
        <f>IFERROR(__xludf.DUMMYFUNCTION("""COMPUTED_VALUE"""),"13/03/2026 19:24:46")</f>
        <v>13/03/2026 19:24:46</v>
      </c>
      <c r="J317" s="95" t="str">
        <f>IFERROR(__xludf.DUMMYFUNCTION("""COMPUTED_VALUE"""),"ELENA FERREIRA VIEIRA")</f>
        <v>ELENA FERREIRA VIEIRA</v>
      </c>
      <c r="K317" s="95" t="str">
        <f>IFERROR(__xludf.DUMMYFUNCTION("""COMPUTED_VALUE"""),"222.791.957-47")</f>
        <v>222.791.957-47</v>
      </c>
      <c r="L317" s="104" t="str">
        <f>IFERROR(__xludf.DUMMYFUNCTION("""COMPUTED_VALUE"""),"29/07/2020")</f>
        <v>29/07/2020</v>
      </c>
      <c r="M317" s="104"/>
      <c r="N317" s="95" t="str">
        <f>IFERROR(__xludf.DUMMYFUNCTION("""COMPUTED_VALUE"""),"0")</f>
        <v>0</v>
      </c>
      <c r="O317" s="95"/>
      <c r="P317" s="95"/>
      <c r="Q317" s="95"/>
      <c r="R317" s="95"/>
      <c r="S317" s="95"/>
      <c r="T317" s="95"/>
      <c r="U317" s="95"/>
      <c r="V317" s="95"/>
      <c r="W317" s="95"/>
      <c r="X317" s="95"/>
      <c r="Y317" s="95"/>
      <c r="Z317" s="95"/>
      <c r="AA317" s="95"/>
      <c r="AB317" s="95"/>
      <c r="AC317" s="95"/>
    </row>
    <row r="318" ht="15.75" customHeight="1" spans="1:29">
      <c r="A318" s="95"/>
      <c r="B318" s="95"/>
      <c r="C318" s="102" t="str">
        <f>IFERROR(__xludf.DUMMYFUNCTION("""COMPUTED_VALUE"""),"ESCOLA MUNICIPAL JOSE RODOVALHO - ESCOLA DE TEMPO INTEGRAL")</f>
        <v>ESCOLA MUNICIPAL JOSE RODOVALHO - ESCOLA DE TEMPO INTEGRAL</v>
      </c>
      <c r="D318" s="95" t="str">
        <f>IFERROR(__xludf.DUMMYFUNCTION("""COMPUTED_VALUE"""),"INFANTIL 5")</f>
        <v>INFANTIL 5</v>
      </c>
      <c r="E318" s="95" t="str">
        <f>IFERROR(__xludf.DUMMYFUNCTION("""COMPUTED_VALUE"""),"Integral")</f>
        <v>Integral</v>
      </c>
      <c r="F318" s="95" t="str">
        <f>IFERROR(__xludf.DUMMYFUNCTION("""COMPUTED_VALUE"""),"Comum")</f>
        <v>Comum</v>
      </c>
      <c r="G318" s="95" t="str">
        <f>IFERROR(__xludf.DUMMYFUNCTION("""COMPUTED_VALUE"""),"2")</f>
        <v>2</v>
      </c>
      <c r="H318" s="95" t="str">
        <f>IFERROR(__xludf.DUMMYFUNCTION("""COMPUTED_VALUE"""),"26042672605")</f>
        <v>26042672605</v>
      </c>
      <c r="I318" s="105" t="str">
        <f>IFERROR(__xludf.DUMMYFUNCTION("""COMPUTED_VALUE"""),"06/04/2026 11:28:19")</f>
        <v>06/04/2026 11:28:19</v>
      </c>
      <c r="J318" s="95" t="str">
        <f>IFERROR(__xludf.DUMMYFUNCTION("""COMPUTED_VALUE"""),"LUCAS LORENZO MARQUES DO NASCIMENTO")</f>
        <v>LUCAS LORENZO MARQUES DO NASCIMENTO</v>
      </c>
      <c r="K318" s="95" t="str">
        <f>IFERROR(__xludf.DUMMYFUNCTION("""COMPUTED_VALUE"""),"173.473.104-40")</f>
        <v>173.473.104-40</v>
      </c>
      <c r="L318" s="104" t="str">
        <f>IFERROR(__xludf.DUMMYFUNCTION("""COMPUTED_VALUE"""),"22/09/2020")</f>
        <v>22/09/2020</v>
      </c>
      <c r="M318" s="106"/>
      <c r="N318" s="95" t="str">
        <f>IFERROR(__xludf.DUMMYFUNCTION("""COMPUTED_VALUE"""),"0")</f>
        <v>0</v>
      </c>
      <c r="O318" s="95"/>
      <c r="P318" s="95"/>
      <c r="Q318" s="95"/>
      <c r="R318" s="95"/>
      <c r="S318" s="95"/>
      <c r="T318" s="95"/>
      <c r="U318" s="95"/>
      <c r="V318" s="95"/>
      <c r="W318" s="95"/>
      <c r="X318" s="95"/>
      <c r="Y318" s="95"/>
      <c r="Z318" s="95"/>
      <c r="AA318" s="95"/>
      <c r="AB318" s="95"/>
      <c r="AC318" s="95"/>
    </row>
    <row r="319" ht="15.75" customHeight="1" spans="1:29">
      <c r="A319" s="95"/>
      <c r="B319" s="95"/>
      <c r="C319" s="102" t="str">
        <f>IFERROR(__xludf.DUMMYFUNCTION("""COMPUTED_VALUE"""),"ESCOLA MUNICIPAL JOSE RODOVALHO - ESCOLA DE TEMPO INTEGRAL")</f>
        <v>ESCOLA MUNICIPAL JOSE RODOVALHO - ESCOLA DE TEMPO INTEGRAL</v>
      </c>
      <c r="D319" s="95" t="str">
        <f>IFERROR(__xludf.DUMMYFUNCTION("""COMPUTED_VALUE"""),"INFANTIL 5")</f>
        <v>INFANTIL 5</v>
      </c>
      <c r="E319" s="95" t="str">
        <f>IFERROR(__xludf.DUMMYFUNCTION("""COMPUTED_VALUE"""),"Integral")</f>
        <v>Integral</v>
      </c>
      <c r="F319" s="95" t="str">
        <f>IFERROR(__xludf.DUMMYFUNCTION("""COMPUTED_VALUE"""),"Comum")</f>
        <v>Comum</v>
      </c>
      <c r="G319" s="95" t="str">
        <f>IFERROR(__xludf.DUMMYFUNCTION("""COMPUTED_VALUE"""),"3")</f>
        <v>3</v>
      </c>
      <c r="H319" s="95" t="str">
        <f>IFERROR(__xludf.DUMMYFUNCTION("""COMPUTED_VALUE"""),"26042040238")</f>
        <v>26042040238</v>
      </c>
      <c r="I319" s="105" t="str">
        <f>IFERROR(__xludf.DUMMYFUNCTION("""COMPUTED_VALUE"""),"09/04/2026 14:14:48")</f>
        <v>09/04/2026 14:14:48</v>
      </c>
      <c r="J319" s="95" t="str">
        <f>IFERROR(__xludf.DUMMYFUNCTION("""COMPUTED_VALUE"""),"TALISON RODRIGO MARINHO BELO")</f>
        <v>TALISON RODRIGO MARINHO BELO</v>
      </c>
      <c r="K319" s="95" t="str">
        <f>IFERROR(__xludf.DUMMYFUNCTION("""COMPUTED_VALUE"""),"171.357.904-99")</f>
        <v>171.357.904-99</v>
      </c>
      <c r="L319" s="104" t="str">
        <f>IFERROR(__xludf.DUMMYFUNCTION("""COMPUTED_VALUE"""),"07/04/2020")</f>
        <v>07/04/2020</v>
      </c>
      <c r="M319" s="104"/>
      <c r="N319" s="95" t="str">
        <f>IFERROR(__xludf.DUMMYFUNCTION("""COMPUTED_VALUE"""),"0")</f>
        <v>0</v>
      </c>
      <c r="O319" s="95"/>
      <c r="P319" s="95"/>
      <c r="Q319" s="95"/>
      <c r="R319" s="95"/>
      <c r="S319" s="95"/>
      <c r="T319" s="95"/>
      <c r="U319" s="95"/>
      <c r="V319" s="95"/>
      <c r="W319" s="95"/>
      <c r="X319" s="95"/>
      <c r="Y319" s="95"/>
      <c r="Z319" s="95"/>
      <c r="AA319" s="95"/>
      <c r="AB319" s="95"/>
      <c r="AC319" s="95"/>
    </row>
    <row r="320" ht="15.75" customHeight="1" spans="1:29">
      <c r="A320" s="95"/>
      <c r="B320" s="95"/>
      <c r="C320" s="102" t="str">
        <f>IFERROR(__xludf.DUMMYFUNCTION("""COMPUTED_VALUE"""),"ESCOLA MUNICIPAL JOSE RODOVALHO - ESCOLA DE TEMPO INTEGRAL")</f>
        <v>ESCOLA MUNICIPAL JOSE RODOVALHO - ESCOLA DE TEMPO INTEGRAL</v>
      </c>
      <c r="D320" s="95" t="str">
        <f>IFERROR(__xludf.DUMMYFUNCTION("""COMPUTED_VALUE"""),"INFANTIL 5")</f>
        <v>INFANTIL 5</v>
      </c>
      <c r="E320" s="95" t="str">
        <f>IFERROR(__xludf.DUMMYFUNCTION("""COMPUTED_VALUE"""),"Integral")</f>
        <v>Integral</v>
      </c>
      <c r="F320" s="95" t="str">
        <f>IFERROR(__xludf.DUMMYFUNCTION("""COMPUTED_VALUE"""),"Comum")</f>
        <v>Comum</v>
      </c>
      <c r="G320" s="95" t="str">
        <f>IFERROR(__xludf.DUMMYFUNCTION("""COMPUTED_VALUE"""),"4")</f>
        <v>4</v>
      </c>
      <c r="H320" s="95" t="str">
        <f>IFERROR(__xludf.DUMMYFUNCTION("""COMPUTED_VALUE"""),"26042514028")</f>
        <v>26042514028</v>
      </c>
      <c r="I320" s="105" t="str">
        <f>IFERROR(__xludf.DUMMYFUNCTION("""COMPUTED_VALUE"""),"23/04/2026 08:21:30")</f>
        <v>23/04/2026 08:21:30</v>
      </c>
      <c r="J320" s="95" t="str">
        <f>IFERROR(__xludf.DUMMYFUNCTION("""COMPUTED_VALUE"""),"YANNA KAILLANE GUSMÃO BARBOSA DA SILVA")</f>
        <v>YANNA KAILLANE GUSMÃO BARBOSA DA SILVA</v>
      </c>
      <c r="K320" s="95" t="str">
        <f>IFERROR(__xludf.DUMMYFUNCTION("""COMPUTED_VALUE"""),"175.827.674-62")</f>
        <v>175.827.674-62</v>
      </c>
      <c r="L320" s="104" t="str">
        <f>IFERROR(__xludf.DUMMYFUNCTION("""COMPUTED_VALUE"""),"11/02/2021")</f>
        <v>11/02/2021</v>
      </c>
      <c r="M320" s="104"/>
      <c r="N320" s="95" t="str">
        <f>IFERROR(__xludf.DUMMYFUNCTION("""COMPUTED_VALUE"""),"0")</f>
        <v>0</v>
      </c>
      <c r="O320" s="95"/>
      <c r="P320" s="95"/>
      <c r="Q320" s="95"/>
      <c r="R320" s="95"/>
      <c r="S320" s="95"/>
      <c r="T320" s="95"/>
      <c r="U320" s="95"/>
      <c r="V320" s="95"/>
      <c r="W320" s="95"/>
      <c r="X320" s="95"/>
      <c r="Y320" s="95"/>
      <c r="Z320" s="95"/>
      <c r="AA320" s="95"/>
      <c r="AB320" s="95"/>
      <c r="AC320" s="95"/>
    </row>
    <row r="321" ht="15.75" customHeight="1" spans="1:29">
      <c r="A321" s="95"/>
      <c r="B321" s="95"/>
      <c r="C321" s="102" t="str">
        <f>IFERROR(__xludf.DUMMYFUNCTION("""COMPUTED_VALUE"""),"ESCOLA MUNICIPAL MARECHAL COSTA E SILVA")</f>
        <v>ESCOLA MUNICIPAL MARECHAL COSTA E SILVA</v>
      </c>
      <c r="D321" s="95" t="str">
        <f>IFERROR(__xludf.DUMMYFUNCTION("""COMPUTED_VALUE"""),"INFANTIL 5")</f>
        <v>INFANTIL 5</v>
      </c>
      <c r="E321" s="95" t="str">
        <f>IFERROR(__xludf.DUMMYFUNCTION("""COMPUTED_VALUE"""),"Matutino/Manhã")</f>
        <v>Matutino/Manhã</v>
      </c>
      <c r="F321" s="95" t="str">
        <f>IFERROR(__xludf.DUMMYFUNCTION("""COMPUTED_VALUE"""),"Comum")</f>
        <v>Comum</v>
      </c>
      <c r="G321" s="95" t="str">
        <f>IFERROR(__xludf.DUMMYFUNCTION("""COMPUTED_VALUE"""),"1")</f>
        <v>1</v>
      </c>
      <c r="H321" s="95" t="str">
        <f>IFERROR(__xludf.DUMMYFUNCTION("""COMPUTED_VALUE"""),"26032271458")</f>
        <v>26032271458</v>
      </c>
      <c r="I321" s="105" t="str">
        <f>IFERROR(__xludf.DUMMYFUNCTION("""COMPUTED_VALUE"""),"17/03/2026 16:06:30")</f>
        <v>17/03/2026 16:06:30</v>
      </c>
      <c r="J321" s="95" t="str">
        <f>IFERROR(__xludf.DUMMYFUNCTION("""COMPUTED_VALUE"""),"BENJAMIM FELIX DA SILVA HONORATO")</f>
        <v>BENJAMIM FELIX DA SILVA HONORATO</v>
      </c>
      <c r="K321" s="95" t="str">
        <f>IFERROR(__xludf.DUMMYFUNCTION("""COMPUTED_VALUE"""),"173.933.634-88")</f>
        <v>173.933.634-88</v>
      </c>
      <c r="L321" s="104" t="str">
        <f>IFERROR(__xludf.DUMMYFUNCTION("""COMPUTED_VALUE"""),"08/10/2020")</f>
        <v>08/10/2020</v>
      </c>
      <c r="M321" s="106"/>
      <c r="N321" s="95" t="str">
        <f>IFERROR(__xludf.DUMMYFUNCTION("""COMPUTED_VALUE"""),"0")</f>
        <v>0</v>
      </c>
      <c r="O321" s="95"/>
      <c r="P321" s="95"/>
      <c r="Q321" s="95"/>
      <c r="R321" s="95"/>
      <c r="S321" s="95"/>
      <c r="T321" s="95"/>
      <c r="U321" s="95"/>
      <c r="V321" s="95"/>
      <c r="W321" s="95"/>
      <c r="X321" s="95"/>
      <c r="Y321" s="95"/>
      <c r="Z321" s="95"/>
      <c r="AA321" s="95"/>
      <c r="AB321" s="95"/>
      <c r="AC321" s="95"/>
    </row>
    <row r="322" ht="15.75" customHeight="1" spans="1:29">
      <c r="A322" s="95"/>
      <c r="B322" s="95"/>
      <c r="C322" s="102" t="str">
        <f>IFERROR(__xludf.DUMMYFUNCTION("""COMPUTED_VALUE"""),"ESCOLA MUNICIPAL MARECHAL COSTA E SILVA")</f>
        <v>ESCOLA MUNICIPAL MARECHAL COSTA E SILVA</v>
      </c>
      <c r="D322" s="95" t="str">
        <f>IFERROR(__xludf.DUMMYFUNCTION("""COMPUTED_VALUE"""),"INFANTIL 5")</f>
        <v>INFANTIL 5</v>
      </c>
      <c r="E322" s="95" t="str">
        <f>IFERROR(__xludf.DUMMYFUNCTION("""COMPUTED_VALUE"""),"Vespertino/Tarde")</f>
        <v>Vespertino/Tarde</v>
      </c>
      <c r="F322" s="95" t="str">
        <f>IFERROR(__xludf.DUMMYFUNCTION("""COMPUTED_VALUE"""),"Comum")</f>
        <v>Comum</v>
      </c>
      <c r="G322" s="95" t="str">
        <f>IFERROR(__xludf.DUMMYFUNCTION("""COMPUTED_VALUE"""),"1")</f>
        <v>1</v>
      </c>
      <c r="H322" s="95" t="str">
        <f>IFERROR(__xludf.DUMMYFUNCTION("""COMPUTED_VALUE"""),"26022503387")</f>
        <v>26022503387</v>
      </c>
      <c r="I322" s="103" t="str">
        <f>IFERROR(__xludf.DUMMYFUNCTION("""COMPUTED_VALUE"""),"05/02/2026 01:05:01")</f>
        <v>05/02/2026 01:05:01</v>
      </c>
      <c r="J322" s="95" t="str">
        <f>IFERROR(__xludf.DUMMYFUNCTION("""COMPUTED_VALUE"""),"MARINA VITÓRIA DA SILVA")</f>
        <v>MARINA VITÓRIA DA SILVA</v>
      </c>
      <c r="K322" s="95" t="str">
        <f>IFERROR(__xludf.DUMMYFUNCTION("""COMPUTED_VALUE"""),"176.952.714-11")</f>
        <v>176.952.714-11</v>
      </c>
      <c r="L322" s="104" t="str">
        <f>IFERROR(__xludf.DUMMYFUNCTION("""COMPUTED_VALUE"""),"24/03/2021")</f>
        <v>24/03/2021</v>
      </c>
      <c r="M322" s="104"/>
      <c r="N322" s="95" t="str">
        <f>IFERROR(__xludf.DUMMYFUNCTION("""COMPUTED_VALUE"""),"0")</f>
        <v>0</v>
      </c>
      <c r="O322" s="95"/>
      <c r="P322" s="95"/>
      <c r="Q322" s="95"/>
      <c r="R322" s="95"/>
      <c r="S322" s="95"/>
      <c r="T322" s="95"/>
      <c r="U322" s="95"/>
      <c r="V322" s="95"/>
      <c r="W322" s="95"/>
      <c r="X322" s="95"/>
      <c r="Y322" s="95"/>
      <c r="Z322" s="95"/>
      <c r="AA322" s="95"/>
      <c r="AB322" s="95"/>
      <c r="AC322" s="95"/>
    </row>
    <row r="323" ht="15.75" customHeight="1" spans="1:29">
      <c r="A323" s="95"/>
      <c r="B323" s="95"/>
      <c r="C323" s="102" t="str">
        <f>IFERROR(__xludf.DUMMYFUNCTION("""COMPUTED_VALUE"""),"ESCOLA MUNICIPAL MARIA DE LOURDES RAMOS")</f>
        <v>ESCOLA MUNICIPAL MARIA DE LOURDES RAMOS</v>
      </c>
      <c r="D323" s="95" t="str">
        <f>IFERROR(__xludf.DUMMYFUNCTION("""COMPUTED_VALUE"""),"INFANTIL 5")</f>
        <v>INFANTIL 5</v>
      </c>
      <c r="E323" s="95" t="str">
        <f>IFERROR(__xludf.DUMMYFUNCTION("""COMPUTED_VALUE"""),"Vespertino/Tarde")</f>
        <v>Vespertino/Tarde</v>
      </c>
      <c r="F323" s="95" t="str">
        <f>IFERROR(__xludf.DUMMYFUNCTION("""COMPUTED_VALUE"""),"Comum")</f>
        <v>Comum</v>
      </c>
      <c r="G323" s="95" t="str">
        <f>IFERROR(__xludf.DUMMYFUNCTION("""COMPUTED_VALUE"""),"1")</f>
        <v>1</v>
      </c>
      <c r="H323" s="95" t="str">
        <f>IFERROR(__xludf.DUMMYFUNCTION("""COMPUTED_VALUE"""),"26032107136")</f>
        <v>26032107136</v>
      </c>
      <c r="I323" s="103" t="str">
        <f>IFERROR(__xludf.DUMMYFUNCTION("""COMPUTED_VALUE"""),"03/03/2026 12:30:35")</f>
        <v>03/03/2026 12:30:35</v>
      </c>
      <c r="J323" s="95" t="str">
        <f>IFERROR(__xludf.DUMMYFUNCTION("""COMPUTED_VALUE"""),"LAURA VALLENTINA BERNARDO MELO DA SILVA")</f>
        <v>LAURA VALLENTINA BERNARDO MELO DA SILVA</v>
      </c>
      <c r="K323" s="95" t="str">
        <f>IFERROR(__xludf.DUMMYFUNCTION("""COMPUTED_VALUE"""),"174.249.374-21")</f>
        <v>174.249.374-21</v>
      </c>
      <c r="L323" s="106" t="str">
        <f>IFERROR(__xludf.DUMMYFUNCTION("""COMPUTED_VALUE"""),"17/11/2020")</f>
        <v>17/11/2020</v>
      </c>
      <c r="M323" s="104"/>
      <c r="N323" s="95" t="str">
        <f>IFERROR(__xludf.DUMMYFUNCTION("""COMPUTED_VALUE"""),"0")</f>
        <v>0</v>
      </c>
      <c r="O323" s="95"/>
      <c r="P323" s="95"/>
      <c r="Q323" s="95"/>
      <c r="R323" s="95"/>
      <c r="S323" s="95"/>
      <c r="T323" s="95"/>
      <c r="U323" s="95"/>
      <c r="V323" s="95"/>
      <c r="W323" s="95"/>
      <c r="X323" s="95"/>
      <c r="Y323" s="95"/>
      <c r="Z323" s="95"/>
      <c r="AA323" s="95"/>
      <c r="AB323" s="95"/>
      <c r="AC323" s="95"/>
    </row>
    <row r="324" ht="15.75" customHeight="1" spans="1:29">
      <c r="A324" s="95"/>
      <c r="B324" s="95"/>
      <c r="C324" s="102" t="str">
        <f>IFERROR(__xludf.DUMMYFUNCTION("""COMPUTED_VALUE"""),"ESCOLA MUNICIPAL NOSSA SENHORA DA CONCEIÇÃO")</f>
        <v>ESCOLA MUNICIPAL NOSSA SENHORA DA CONCEIÇÃO</v>
      </c>
      <c r="D324" s="95" t="str">
        <f>IFERROR(__xludf.DUMMYFUNCTION("""COMPUTED_VALUE"""),"INFANTIL 4")</f>
        <v>INFANTIL 4</v>
      </c>
      <c r="E324" s="95" t="str">
        <f>IFERROR(__xludf.DUMMYFUNCTION("""COMPUTED_VALUE"""),"Matutino/Manhã")</f>
        <v>Matutino/Manhã</v>
      </c>
      <c r="F324" s="95" t="str">
        <f>IFERROR(__xludf.DUMMYFUNCTION("""COMPUTED_VALUE"""),"Comum")</f>
        <v>Comum</v>
      </c>
      <c r="G324" s="95" t="str">
        <f>IFERROR(__xludf.DUMMYFUNCTION("""COMPUTED_VALUE"""),"1")</f>
        <v>1</v>
      </c>
      <c r="H324" s="95" t="str">
        <f>IFERROR(__xludf.DUMMYFUNCTION("""COMPUTED_VALUE"""),"26012003704")</f>
        <v>26012003704</v>
      </c>
      <c r="I324" s="105" t="str">
        <f>IFERROR(__xludf.DUMMYFUNCTION("""COMPUTED_VALUE"""),"29/01/2026 09:05:19")</f>
        <v>29/01/2026 09:05:19</v>
      </c>
      <c r="J324" s="95" t="str">
        <f>IFERROR(__xludf.DUMMYFUNCTION("""COMPUTED_VALUE"""),"RAVI BENJAMIN RODRIGUES DE LIRA")</f>
        <v>RAVI BENJAMIN RODRIGUES DE LIRA</v>
      </c>
      <c r="K324" s="95" t="str">
        <f>IFERROR(__xludf.DUMMYFUNCTION("""COMPUTED_VALUE"""),"179.431.394-02")</f>
        <v>179.431.394-02</v>
      </c>
      <c r="L324" s="104" t="str">
        <f>IFERROR(__xludf.DUMMYFUNCTION("""COMPUTED_VALUE"""),"03/12/2021")</f>
        <v>03/12/2021</v>
      </c>
      <c r="M324" s="106"/>
      <c r="N324" s="95" t="str">
        <f>IFERROR(__xludf.DUMMYFUNCTION("""COMPUTED_VALUE"""),"0")</f>
        <v>0</v>
      </c>
      <c r="O324" s="95"/>
      <c r="P324" s="95"/>
      <c r="Q324" s="95"/>
      <c r="R324" s="95"/>
      <c r="S324" s="95"/>
      <c r="T324" s="95"/>
      <c r="U324" s="95"/>
      <c r="V324" s="95"/>
      <c r="W324" s="95"/>
      <c r="X324" s="95"/>
      <c r="Y324" s="95"/>
      <c r="Z324" s="95"/>
      <c r="AA324" s="95"/>
      <c r="AB324" s="95"/>
      <c r="AC324" s="95"/>
    </row>
    <row r="325" ht="15.75" customHeight="1" spans="1:29">
      <c r="A325" s="95"/>
      <c r="B325" s="95"/>
      <c r="C325" s="102" t="str">
        <f>IFERROR(__xludf.DUMMYFUNCTION("""COMPUTED_VALUE"""),"ESCOLA MUNICIPAL NOSSA SENHORA DA CONCEIÇÃO")</f>
        <v>ESCOLA MUNICIPAL NOSSA SENHORA DA CONCEIÇÃO</v>
      </c>
      <c r="D325" s="95" t="str">
        <f>IFERROR(__xludf.DUMMYFUNCTION("""COMPUTED_VALUE"""),"INFANTIL 4")</f>
        <v>INFANTIL 4</v>
      </c>
      <c r="E325" s="95" t="str">
        <f>IFERROR(__xludf.DUMMYFUNCTION("""COMPUTED_VALUE"""),"Matutino/Manhã")</f>
        <v>Matutino/Manhã</v>
      </c>
      <c r="F325" s="95" t="str">
        <f>IFERROR(__xludf.DUMMYFUNCTION("""COMPUTED_VALUE"""),"Comum")</f>
        <v>Comum</v>
      </c>
      <c r="G325" s="95" t="str">
        <f>IFERROR(__xludf.DUMMYFUNCTION("""COMPUTED_VALUE"""),"2")</f>
        <v>2</v>
      </c>
      <c r="H325" s="95" t="str">
        <f>IFERROR(__xludf.DUMMYFUNCTION("""COMPUTED_VALUE"""),"26022857082")</f>
        <v>26022857082</v>
      </c>
      <c r="I325" s="105" t="str">
        <f>IFERROR(__xludf.DUMMYFUNCTION("""COMPUTED_VALUE"""),"09/02/2026 14:55:06")</f>
        <v>09/02/2026 14:55:06</v>
      </c>
      <c r="J325" s="95" t="str">
        <f>IFERROR(__xludf.DUMMYFUNCTION("""COMPUTED_VALUE"""),"AURORA RAQUEL ROSENO MACIEL")</f>
        <v>AURORA RAQUEL ROSENO MACIEL</v>
      </c>
      <c r="K325" s="95" t="str">
        <f>IFERROR(__xludf.DUMMYFUNCTION("""COMPUTED_VALUE"""),"178.496.574-03")</f>
        <v>178.496.574-03</v>
      </c>
      <c r="L325" s="104" t="str">
        <f>IFERROR(__xludf.DUMMYFUNCTION("""COMPUTED_VALUE"""),"17/09/2021")</f>
        <v>17/09/2021</v>
      </c>
      <c r="M325" s="104"/>
      <c r="N325" s="95" t="str">
        <f>IFERROR(__xludf.DUMMYFUNCTION("""COMPUTED_VALUE"""),"0")</f>
        <v>0</v>
      </c>
      <c r="O325" s="95"/>
      <c r="P325" s="95"/>
      <c r="Q325" s="95"/>
      <c r="R325" s="95"/>
      <c r="S325" s="95"/>
      <c r="T325" s="95"/>
      <c r="U325" s="95"/>
      <c r="V325" s="95"/>
      <c r="W325" s="95"/>
      <c r="X325" s="95"/>
      <c r="Y325" s="95"/>
      <c r="Z325" s="95"/>
      <c r="AA325" s="95"/>
      <c r="AB325" s="95"/>
      <c r="AC325" s="95"/>
    </row>
    <row r="326" ht="15.75" customHeight="1" spans="1:29">
      <c r="A326" s="95"/>
      <c r="B326" s="95"/>
      <c r="C326" s="102" t="str">
        <f>IFERROR(__xludf.DUMMYFUNCTION("""COMPUTED_VALUE"""),"ESCOLA MUNICIPAL NOSSA SENHORA DA CONCEIÇÃO")</f>
        <v>ESCOLA MUNICIPAL NOSSA SENHORA DA CONCEIÇÃO</v>
      </c>
      <c r="D326" s="95" t="str">
        <f>IFERROR(__xludf.DUMMYFUNCTION("""COMPUTED_VALUE"""),"INFANTIL 4")</f>
        <v>INFANTIL 4</v>
      </c>
      <c r="E326" s="95" t="str">
        <f>IFERROR(__xludf.DUMMYFUNCTION("""COMPUTED_VALUE"""),"Vespertino/Tarde")</f>
        <v>Vespertino/Tarde</v>
      </c>
      <c r="F326" s="95" t="str">
        <f>IFERROR(__xludf.DUMMYFUNCTION("""COMPUTED_VALUE"""),"Comum")</f>
        <v>Comum</v>
      </c>
      <c r="G326" s="95" t="str">
        <f>IFERROR(__xludf.DUMMYFUNCTION("""COMPUTED_VALUE"""),"1")</f>
        <v>1</v>
      </c>
      <c r="H326" s="95" t="str">
        <f>IFERROR(__xludf.DUMMYFUNCTION("""COMPUTED_VALUE"""),"26022459034")</f>
        <v>26022459034</v>
      </c>
      <c r="I326" s="105" t="str">
        <f>IFERROR(__xludf.DUMMYFUNCTION("""COMPUTED_VALUE"""),"03/02/2026 17:43:14")</f>
        <v>03/02/2026 17:43:14</v>
      </c>
      <c r="J326" s="95" t="str">
        <f>IFERROR(__xludf.DUMMYFUNCTION("""COMPUTED_VALUE"""),"MAYA GEOVANNA  ARAÚJO DA SILVA")</f>
        <v>MAYA GEOVANNA  ARAÚJO DA SILVA</v>
      </c>
      <c r="K326" s="95" t="str">
        <f>IFERROR(__xludf.DUMMYFUNCTION("""COMPUTED_VALUE"""),"180.881.774-56")</f>
        <v>180.881.774-56</v>
      </c>
      <c r="L326" s="104" t="str">
        <f>IFERROR(__xludf.DUMMYFUNCTION("""COMPUTED_VALUE"""),"20/01/2022")</f>
        <v>20/01/2022</v>
      </c>
      <c r="M326" s="104"/>
      <c r="N326" s="95" t="str">
        <f>IFERROR(__xludf.DUMMYFUNCTION("""COMPUTED_VALUE"""),"0")</f>
        <v>0</v>
      </c>
      <c r="O326" s="95"/>
      <c r="P326" s="95"/>
      <c r="Q326" s="95"/>
      <c r="R326" s="95"/>
      <c r="S326" s="95"/>
      <c r="T326" s="95"/>
      <c r="U326" s="95"/>
      <c r="V326" s="95"/>
      <c r="W326" s="95"/>
      <c r="X326" s="95"/>
      <c r="Y326" s="95"/>
      <c r="Z326" s="95"/>
      <c r="AA326" s="95"/>
      <c r="AB326" s="95"/>
      <c r="AC326" s="95"/>
    </row>
    <row r="327" ht="15.75" customHeight="1" spans="1:29">
      <c r="A327" s="95"/>
      <c r="B327" s="95"/>
      <c r="C327" s="102" t="str">
        <f>IFERROR(__xludf.DUMMYFUNCTION("""COMPUTED_VALUE"""),"ESCOLA MUNICIPAL NOSSA SENHORA DA CONCEIÇÃO")</f>
        <v>ESCOLA MUNICIPAL NOSSA SENHORA DA CONCEIÇÃO</v>
      </c>
      <c r="D327" s="95" t="str">
        <f>IFERROR(__xludf.DUMMYFUNCTION("""COMPUTED_VALUE"""),"INFANTIL 4")</f>
        <v>INFANTIL 4</v>
      </c>
      <c r="E327" s="95" t="str">
        <f>IFERROR(__xludf.DUMMYFUNCTION("""COMPUTED_VALUE"""),"Vespertino/Tarde")</f>
        <v>Vespertino/Tarde</v>
      </c>
      <c r="F327" s="95" t="str">
        <f>IFERROR(__xludf.DUMMYFUNCTION("""COMPUTED_VALUE"""),"Comum")</f>
        <v>Comum</v>
      </c>
      <c r="G327" s="95" t="str">
        <f>IFERROR(__xludf.DUMMYFUNCTION("""COMPUTED_VALUE"""),"2")</f>
        <v>2</v>
      </c>
      <c r="H327" s="95" t="str">
        <f>IFERROR(__xludf.DUMMYFUNCTION("""COMPUTED_VALUE"""),"26022478613")</f>
        <v>26022478613</v>
      </c>
      <c r="I327" s="105" t="str">
        <f>IFERROR(__xludf.DUMMYFUNCTION("""COMPUTED_VALUE"""),"16/02/2026 16:33:52")</f>
        <v>16/02/2026 16:33:52</v>
      </c>
      <c r="J327" s="95" t="str">
        <f>IFERROR(__xludf.DUMMYFUNCTION("""COMPUTED_VALUE"""),"ENZO MIGUEL OLIVEIRA DA SILVA")</f>
        <v>ENZO MIGUEL OLIVEIRA DA SILVA</v>
      </c>
      <c r="K327" s="95" t="str">
        <f>IFERROR(__xludf.DUMMYFUNCTION("""COMPUTED_VALUE"""),"092.575.144-80")</f>
        <v>092.575.144-80</v>
      </c>
      <c r="L327" s="104" t="str">
        <f>IFERROR(__xludf.DUMMYFUNCTION("""COMPUTED_VALUE"""),"05/11/2021")</f>
        <v>05/11/2021</v>
      </c>
      <c r="M327" s="104"/>
      <c r="N327" s="95" t="str">
        <f>IFERROR(__xludf.DUMMYFUNCTION("""COMPUTED_VALUE"""),"0")</f>
        <v>0</v>
      </c>
      <c r="O327" s="95"/>
      <c r="P327" s="95"/>
      <c r="Q327" s="95"/>
      <c r="R327" s="95"/>
      <c r="S327" s="95"/>
      <c r="T327" s="95"/>
      <c r="U327" s="95"/>
      <c r="V327" s="95"/>
      <c r="W327" s="95"/>
      <c r="X327" s="95"/>
      <c r="Y327" s="95"/>
      <c r="Z327" s="95"/>
      <c r="AA327" s="95"/>
      <c r="AB327" s="95"/>
      <c r="AC327" s="95"/>
    </row>
    <row r="328" ht="15.75" customHeight="1" spans="1:29">
      <c r="A328" s="95"/>
      <c r="B328" s="95"/>
      <c r="C328" s="102" t="str">
        <f>IFERROR(__xludf.DUMMYFUNCTION("""COMPUTED_VALUE"""),"ESCOLA MUNICIPAL NOSSA SENHORA DA CONCEIÇÃO")</f>
        <v>ESCOLA MUNICIPAL NOSSA SENHORA DA CONCEIÇÃO</v>
      </c>
      <c r="D328" s="95" t="str">
        <f>IFERROR(__xludf.DUMMYFUNCTION("""COMPUTED_VALUE"""),"INFANTIL 4")</f>
        <v>INFANTIL 4</v>
      </c>
      <c r="E328" s="95" t="str">
        <f>IFERROR(__xludf.DUMMYFUNCTION("""COMPUTED_VALUE"""),"Vespertino/Tarde")</f>
        <v>Vespertino/Tarde</v>
      </c>
      <c r="F328" s="95" t="str">
        <f>IFERROR(__xludf.DUMMYFUNCTION("""COMPUTED_VALUE"""),"Comum")</f>
        <v>Comum</v>
      </c>
      <c r="G328" s="95" t="str">
        <f>IFERROR(__xludf.DUMMYFUNCTION("""COMPUTED_VALUE"""),"3")</f>
        <v>3</v>
      </c>
      <c r="H328" s="95" t="str">
        <f>IFERROR(__xludf.DUMMYFUNCTION("""COMPUTED_VALUE"""),"26032817494")</f>
        <v>26032817494</v>
      </c>
      <c r="I328" s="105" t="str">
        <f>IFERROR(__xludf.DUMMYFUNCTION("""COMPUTED_VALUE"""),"24/03/2026 15:35:20")</f>
        <v>24/03/2026 15:35:20</v>
      </c>
      <c r="J328" s="95" t="str">
        <f>IFERROR(__xludf.DUMMYFUNCTION("""COMPUTED_VALUE"""),"MIGUEL MACIEL DA SILVA LOPES")</f>
        <v>MIGUEL MACIEL DA SILVA LOPES</v>
      </c>
      <c r="K328" s="95" t="str">
        <f>IFERROR(__xludf.DUMMYFUNCTION("""COMPUTED_VALUE"""),"180.868.714-01")</f>
        <v>180.868.714-01</v>
      </c>
      <c r="L328" s="106" t="str">
        <f>IFERROR(__xludf.DUMMYFUNCTION("""COMPUTED_VALUE"""),"11/03/2022")</f>
        <v>11/03/2022</v>
      </c>
      <c r="M328" s="104"/>
      <c r="N328" s="95" t="str">
        <f>IFERROR(__xludf.DUMMYFUNCTION("""COMPUTED_VALUE"""),"0")</f>
        <v>0</v>
      </c>
      <c r="O328" s="95"/>
      <c r="P328" s="95"/>
      <c r="Q328" s="95"/>
      <c r="R328" s="95"/>
      <c r="S328" s="95"/>
      <c r="T328" s="95"/>
      <c r="U328" s="95"/>
      <c r="V328" s="95"/>
      <c r="W328" s="95"/>
      <c r="X328" s="95"/>
      <c r="Y328" s="95"/>
      <c r="Z328" s="95"/>
      <c r="AA328" s="95"/>
      <c r="AB328" s="95"/>
      <c r="AC328" s="95"/>
    </row>
    <row r="329" ht="15.75" customHeight="1" spans="1:29">
      <c r="A329" s="95"/>
      <c r="B329" s="95"/>
      <c r="C329" s="102" t="str">
        <f>IFERROR(__xludf.DUMMYFUNCTION("""COMPUTED_VALUE"""),"ESCOLA MUNICIPAL NOSSA SENHORA DA CONCEIÇÃO")</f>
        <v>ESCOLA MUNICIPAL NOSSA SENHORA DA CONCEIÇÃO</v>
      </c>
      <c r="D329" s="95" t="str">
        <f>IFERROR(__xludf.DUMMYFUNCTION("""COMPUTED_VALUE"""),"INFANTIL 4")</f>
        <v>INFANTIL 4</v>
      </c>
      <c r="E329" s="95" t="str">
        <f>IFERROR(__xludf.DUMMYFUNCTION("""COMPUTED_VALUE"""),"Vespertino/Tarde")</f>
        <v>Vespertino/Tarde</v>
      </c>
      <c r="F329" s="95" t="str">
        <f>IFERROR(__xludf.DUMMYFUNCTION("""COMPUTED_VALUE"""),"Comum")</f>
        <v>Comum</v>
      </c>
      <c r="G329" s="95" t="str">
        <f>IFERROR(__xludf.DUMMYFUNCTION("""COMPUTED_VALUE"""),"4")</f>
        <v>4</v>
      </c>
      <c r="H329" s="95" t="str">
        <f>IFERROR(__xludf.DUMMYFUNCTION("""COMPUTED_VALUE"""),"26032313385")</f>
        <v>26032313385</v>
      </c>
      <c r="I329" s="105" t="str">
        <f>IFERROR(__xludf.DUMMYFUNCTION("""COMPUTED_VALUE"""),"27/03/2026 00:01:46")</f>
        <v>27/03/2026 00:01:46</v>
      </c>
      <c r="J329" s="95" t="str">
        <f>IFERROR(__xludf.DUMMYFUNCTION("""COMPUTED_VALUE"""),"ANTHONY GABRIEL RAPOSO GOMES DA SILVA")</f>
        <v>ANTHONY GABRIEL RAPOSO GOMES DA SILVA</v>
      </c>
      <c r="K329" s="95" t="str">
        <f>IFERROR(__xludf.DUMMYFUNCTION("""COMPUTED_VALUE"""),"177.044.674-50")</f>
        <v>177.044.674-50</v>
      </c>
      <c r="L329" s="104" t="str">
        <f>IFERROR(__xludf.DUMMYFUNCTION("""COMPUTED_VALUE"""),"11/06/2021")</f>
        <v>11/06/2021</v>
      </c>
      <c r="M329" s="104"/>
      <c r="N329" s="95" t="str">
        <f>IFERROR(__xludf.DUMMYFUNCTION("""COMPUTED_VALUE"""),"0")</f>
        <v>0</v>
      </c>
      <c r="O329" s="95"/>
      <c r="P329" s="95"/>
      <c r="Q329" s="95"/>
      <c r="R329" s="95"/>
      <c r="S329" s="95"/>
      <c r="T329" s="95"/>
      <c r="U329" s="95"/>
      <c r="V329" s="95"/>
      <c r="W329" s="95"/>
      <c r="X329" s="95"/>
      <c r="Y329" s="95"/>
      <c r="Z329" s="95"/>
      <c r="AA329" s="95"/>
      <c r="AB329" s="95"/>
      <c r="AC329" s="95"/>
    </row>
    <row r="330" ht="15.75" customHeight="1" spans="1:29">
      <c r="A330" s="95"/>
      <c r="B330" s="95"/>
      <c r="C330" s="102" t="str">
        <f>IFERROR(__xludf.DUMMYFUNCTION("""COMPUTED_VALUE"""),"ESCOLA MUNICIPAL NOSSA SENHORA DA CONCEIÇÃO")</f>
        <v>ESCOLA MUNICIPAL NOSSA SENHORA DA CONCEIÇÃO</v>
      </c>
      <c r="D330" s="95" t="str">
        <f>IFERROR(__xludf.DUMMYFUNCTION("""COMPUTED_VALUE"""),"INFANTIL 5")</f>
        <v>INFANTIL 5</v>
      </c>
      <c r="E330" s="95" t="str">
        <f>IFERROR(__xludf.DUMMYFUNCTION("""COMPUTED_VALUE"""),"Matutino/Manhã")</f>
        <v>Matutino/Manhã</v>
      </c>
      <c r="F330" s="95" t="str">
        <f>IFERROR(__xludf.DUMMYFUNCTION("""COMPUTED_VALUE"""),"Comum")</f>
        <v>Comum</v>
      </c>
      <c r="G330" s="95" t="str">
        <f>IFERROR(__xludf.DUMMYFUNCTION("""COMPUTED_VALUE"""),"1")</f>
        <v>1</v>
      </c>
      <c r="H330" s="95" t="str">
        <f>IFERROR(__xludf.DUMMYFUNCTION("""COMPUTED_VALUE"""),"26032249228")</f>
        <v>26032249228</v>
      </c>
      <c r="I330" s="105" t="str">
        <f>IFERROR(__xludf.DUMMYFUNCTION("""COMPUTED_VALUE"""),"04/03/2026 11:40:39")</f>
        <v>04/03/2026 11:40:39</v>
      </c>
      <c r="J330" s="95" t="str">
        <f>IFERROR(__xludf.DUMMYFUNCTION("""COMPUTED_VALUE"""),"ANA CLARA DE VASCONCELOS SANTOS")</f>
        <v>ANA CLARA DE VASCONCELOS SANTOS</v>
      </c>
      <c r="K330" s="95" t="str">
        <f>IFERROR(__xludf.DUMMYFUNCTION("""COMPUTED_VALUE"""),"174.021.444-70")</f>
        <v>174.021.444-70</v>
      </c>
      <c r="L330" s="104" t="str">
        <f>IFERROR(__xludf.DUMMYFUNCTION("""COMPUTED_VALUE"""),"12/09/2020")</f>
        <v>12/09/2020</v>
      </c>
      <c r="M330" s="106"/>
      <c r="N330" s="95" t="str">
        <f>IFERROR(__xludf.DUMMYFUNCTION("""COMPUTED_VALUE"""),"0")</f>
        <v>0</v>
      </c>
      <c r="O330" s="95"/>
      <c r="P330" s="95"/>
      <c r="Q330" s="95"/>
      <c r="R330" s="95"/>
      <c r="S330" s="95"/>
      <c r="T330" s="95"/>
      <c r="U330" s="95"/>
      <c r="V330" s="95"/>
      <c r="W330" s="95"/>
      <c r="X330" s="95"/>
      <c r="Y330" s="95"/>
      <c r="Z330" s="95"/>
      <c r="AA330" s="95"/>
      <c r="AB330" s="95"/>
      <c r="AC330" s="95"/>
    </row>
    <row r="331" ht="15.75" customHeight="1" spans="1:29">
      <c r="A331" s="95"/>
      <c r="B331" s="95"/>
      <c r="C331" s="102" t="str">
        <f>IFERROR(__xludf.DUMMYFUNCTION("""COMPUTED_VALUE"""),"ESCOLA MUNICIPAL NOSSA SENHORA DA CONCEIÇÃO")</f>
        <v>ESCOLA MUNICIPAL NOSSA SENHORA DA CONCEIÇÃO</v>
      </c>
      <c r="D331" s="95" t="str">
        <f>IFERROR(__xludf.DUMMYFUNCTION("""COMPUTED_VALUE"""),"INFANTIL 5")</f>
        <v>INFANTIL 5</v>
      </c>
      <c r="E331" s="95" t="str">
        <f>IFERROR(__xludf.DUMMYFUNCTION("""COMPUTED_VALUE"""),"Vespertino/Tarde")</f>
        <v>Vespertino/Tarde</v>
      </c>
      <c r="F331" s="95" t="str">
        <f>IFERROR(__xludf.DUMMYFUNCTION("""COMPUTED_VALUE"""),"Comum")</f>
        <v>Comum</v>
      </c>
      <c r="G331" s="95" t="str">
        <f>IFERROR(__xludf.DUMMYFUNCTION("""COMPUTED_VALUE"""),"1")</f>
        <v>1</v>
      </c>
      <c r="H331" s="95" t="str">
        <f>IFERROR(__xludf.DUMMYFUNCTION("""COMPUTED_VALUE"""),"26022750743")</f>
        <v>26022750743</v>
      </c>
      <c r="I331" s="105" t="str">
        <f>IFERROR(__xludf.DUMMYFUNCTION("""COMPUTED_VALUE"""),"03/02/2026 13:06:05")</f>
        <v>03/02/2026 13:06:05</v>
      </c>
      <c r="J331" s="95" t="str">
        <f>IFERROR(__xludf.DUMMYFUNCTION("""COMPUTED_VALUE"""),"JENEFER GRAZIELE DA SILVA LIMA")</f>
        <v>JENEFER GRAZIELE DA SILVA LIMA</v>
      </c>
      <c r="K331" s="95" t="str">
        <f>IFERROR(__xludf.DUMMYFUNCTION("""COMPUTED_VALUE"""),"173.342.964-60")</f>
        <v>173.342.964-60</v>
      </c>
      <c r="L331" s="104" t="str">
        <f>IFERROR(__xludf.DUMMYFUNCTION("""COMPUTED_VALUE"""),"04/04/2020")</f>
        <v>04/04/2020</v>
      </c>
      <c r="M331" s="104"/>
      <c r="N331" s="95" t="str">
        <f>IFERROR(__xludf.DUMMYFUNCTION("""COMPUTED_VALUE"""),"0")</f>
        <v>0</v>
      </c>
      <c r="O331" s="95"/>
      <c r="P331" s="95"/>
      <c r="Q331" s="95"/>
      <c r="R331" s="95"/>
      <c r="S331" s="95"/>
      <c r="T331" s="95"/>
      <c r="U331" s="95"/>
      <c r="V331" s="95"/>
      <c r="W331" s="95"/>
      <c r="X331" s="95"/>
      <c r="Y331" s="95"/>
      <c r="Z331" s="95"/>
      <c r="AA331" s="95"/>
      <c r="AB331" s="95"/>
      <c r="AC331" s="95"/>
    </row>
    <row r="332" ht="15.75" customHeight="1" spans="1:29">
      <c r="A332" s="95"/>
      <c r="B332" s="95"/>
      <c r="C332" s="102" t="str">
        <f>IFERROR(__xludf.DUMMYFUNCTION("""COMPUTED_VALUE"""),"ESCOLA MUNICIPAL NOSSA SENHORA DA CONCEIÇÃO")</f>
        <v>ESCOLA MUNICIPAL NOSSA SENHORA DA CONCEIÇÃO</v>
      </c>
      <c r="D332" s="95" t="str">
        <f>IFERROR(__xludf.DUMMYFUNCTION("""COMPUTED_VALUE"""),"INFANTIL 5")</f>
        <v>INFANTIL 5</v>
      </c>
      <c r="E332" s="95" t="str">
        <f>IFERROR(__xludf.DUMMYFUNCTION("""COMPUTED_VALUE"""),"Vespertino/Tarde")</f>
        <v>Vespertino/Tarde</v>
      </c>
      <c r="F332" s="95" t="str">
        <f>IFERROR(__xludf.DUMMYFUNCTION("""COMPUTED_VALUE"""),"Comum")</f>
        <v>Comum</v>
      </c>
      <c r="G332" s="95" t="str">
        <f>IFERROR(__xludf.DUMMYFUNCTION("""COMPUTED_VALUE"""),"2")</f>
        <v>2</v>
      </c>
      <c r="H332" s="95" t="str">
        <f>IFERROR(__xludf.DUMMYFUNCTION("""COMPUTED_VALUE"""),"26042569547")</f>
        <v>26042569547</v>
      </c>
      <c r="I332" s="103" t="str">
        <f>IFERROR(__xludf.DUMMYFUNCTION("""COMPUTED_VALUE"""),"29/04/2026 11:08:16")</f>
        <v>29/04/2026 11:08:16</v>
      </c>
      <c r="J332" s="95" t="str">
        <f>IFERROR(__xludf.DUMMYFUNCTION("""COMPUTED_VALUE"""),"FABRIELLY MARIA DA SILVA")</f>
        <v>FABRIELLY MARIA DA SILVA</v>
      </c>
      <c r="K332" s="95" t="str">
        <f>IFERROR(__xludf.DUMMYFUNCTION("""COMPUTED_VALUE"""),"174.170.044-23")</f>
        <v>174.170.044-23</v>
      </c>
      <c r="L332" s="104" t="str">
        <f>IFERROR(__xludf.DUMMYFUNCTION("""COMPUTED_VALUE"""),"08/11/2020")</f>
        <v>08/11/2020</v>
      </c>
      <c r="M332" s="104"/>
      <c r="N332" s="95" t="str">
        <f>IFERROR(__xludf.DUMMYFUNCTION("""COMPUTED_VALUE"""),"0")</f>
        <v>0</v>
      </c>
      <c r="O332" s="95"/>
      <c r="P332" s="95"/>
      <c r="Q332" s="95"/>
      <c r="R332" s="95"/>
      <c r="S332" s="95"/>
      <c r="T332" s="95"/>
      <c r="U332" s="95"/>
      <c r="V332" s="95"/>
      <c r="W332" s="95"/>
      <c r="X332" s="95"/>
      <c r="Y332" s="95"/>
      <c r="Z332" s="95"/>
      <c r="AA332" s="95"/>
      <c r="AB332" s="95"/>
      <c r="AC332" s="95"/>
    </row>
    <row r="333" ht="15.75" customHeight="1" spans="1:29">
      <c r="A333" s="95"/>
      <c r="B333" s="95"/>
      <c r="C333" s="102" t="str">
        <f>IFERROR(__xludf.DUMMYFUNCTION("""COMPUTED_VALUE"""),"ESCOLA MUNICIPAL NOSSA SENHORA DE FATIMA")</f>
        <v>ESCOLA MUNICIPAL NOSSA SENHORA DE FATIMA</v>
      </c>
      <c r="D333" s="95" t="str">
        <f>IFERROR(__xludf.DUMMYFUNCTION("""COMPUTED_VALUE"""),"INFANTIL 4")</f>
        <v>INFANTIL 4</v>
      </c>
      <c r="E333" s="95" t="str">
        <f>IFERROR(__xludf.DUMMYFUNCTION("""COMPUTED_VALUE"""),"Matutino/Manhã")</f>
        <v>Matutino/Manhã</v>
      </c>
      <c r="F333" s="95" t="str">
        <f>IFERROR(__xludf.DUMMYFUNCTION("""COMPUTED_VALUE"""),"Comum")</f>
        <v>Comum</v>
      </c>
      <c r="G333" s="95" t="str">
        <f>IFERROR(__xludf.DUMMYFUNCTION("""COMPUTED_VALUE"""),"1")</f>
        <v>1</v>
      </c>
      <c r="H333" s="95" t="str">
        <f>IFERROR(__xludf.DUMMYFUNCTION("""COMPUTED_VALUE"""),"26012693963")</f>
        <v>26012693963</v>
      </c>
      <c r="I333" s="103" t="str">
        <f>IFERROR(__xludf.DUMMYFUNCTION("""COMPUTED_VALUE"""),"28/01/2026 08:12:09")</f>
        <v>28/01/2026 08:12:09</v>
      </c>
      <c r="J333" s="95" t="str">
        <f>IFERROR(__xludf.DUMMYFUNCTION("""COMPUTED_VALUE"""),"JOANNA VICTORIA ROMEIRO DA SILVA")</f>
        <v>JOANNA VICTORIA ROMEIRO DA SILVA</v>
      </c>
      <c r="K333" s="95" t="str">
        <f>IFERROR(__xludf.DUMMYFUNCTION("""COMPUTED_VALUE"""),"179.860.684-42")</f>
        <v>179.860.684-42</v>
      </c>
      <c r="L333" s="104" t="str">
        <f>IFERROR(__xludf.DUMMYFUNCTION("""COMPUTED_VALUE"""),"06/01/2022")</f>
        <v>06/01/2022</v>
      </c>
      <c r="M333" s="104"/>
      <c r="N333" s="95" t="str">
        <f>IFERROR(__xludf.DUMMYFUNCTION("""COMPUTED_VALUE"""),"0")</f>
        <v>0</v>
      </c>
      <c r="O333" s="95"/>
      <c r="P333" s="95"/>
      <c r="Q333" s="95"/>
      <c r="R333" s="95"/>
      <c r="S333" s="95"/>
      <c r="T333" s="95"/>
      <c r="U333" s="95"/>
      <c r="V333" s="95"/>
      <c r="W333" s="95"/>
      <c r="X333" s="95"/>
      <c r="Y333" s="95"/>
      <c r="Z333" s="95"/>
      <c r="AA333" s="95"/>
      <c r="AB333" s="95"/>
      <c r="AC333" s="95"/>
    </row>
    <row r="334" ht="15.75" customHeight="1" spans="1:29">
      <c r="A334" s="95"/>
      <c r="B334" s="95"/>
      <c r="C334" s="102" t="str">
        <f>IFERROR(__xludf.DUMMYFUNCTION("""COMPUTED_VALUE"""),"ESCOLA MUNICIPAL NOSSA SENHORA DE FATIMA")</f>
        <v>ESCOLA MUNICIPAL NOSSA SENHORA DE FATIMA</v>
      </c>
      <c r="D334" s="95" t="str">
        <f>IFERROR(__xludf.DUMMYFUNCTION("""COMPUTED_VALUE"""),"INFANTIL 4")</f>
        <v>INFANTIL 4</v>
      </c>
      <c r="E334" s="95" t="str">
        <f>IFERROR(__xludf.DUMMYFUNCTION("""COMPUTED_VALUE"""),"Matutino/Manhã")</f>
        <v>Matutino/Manhã</v>
      </c>
      <c r="F334" s="95" t="str">
        <f>IFERROR(__xludf.DUMMYFUNCTION("""COMPUTED_VALUE"""),"Comum")</f>
        <v>Comum</v>
      </c>
      <c r="G334" s="95" t="str">
        <f>IFERROR(__xludf.DUMMYFUNCTION("""COMPUTED_VALUE"""),"2")</f>
        <v>2</v>
      </c>
      <c r="H334" s="95" t="str">
        <f>IFERROR(__xludf.DUMMYFUNCTION("""COMPUTED_VALUE"""),"26012175876")</f>
        <v>26012175876</v>
      </c>
      <c r="I334" s="103" t="str">
        <f>IFERROR(__xludf.DUMMYFUNCTION("""COMPUTED_VALUE"""),"28/01/2026 08:30:12")</f>
        <v>28/01/2026 08:30:12</v>
      </c>
      <c r="J334" s="95" t="str">
        <f>IFERROR(__xludf.DUMMYFUNCTION("""COMPUTED_VALUE"""),"MARIA LETICIA DA SILVA  DOS SANTOS")</f>
        <v>MARIA LETICIA DA SILVA  DOS SANTOS</v>
      </c>
      <c r="K334" s="95" t="str">
        <f>IFERROR(__xludf.DUMMYFUNCTION("""COMPUTED_VALUE"""),"177.334.924-40")</f>
        <v>177.334.924-40</v>
      </c>
      <c r="L334" s="104" t="str">
        <f>IFERROR(__xludf.DUMMYFUNCTION("""COMPUTED_VALUE"""),"07/07/2021")</f>
        <v>07/07/2021</v>
      </c>
      <c r="M334" s="104"/>
      <c r="N334" s="95" t="str">
        <f>IFERROR(__xludf.DUMMYFUNCTION("""COMPUTED_VALUE"""),"0")</f>
        <v>0</v>
      </c>
      <c r="O334" s="95"/>
      <c r="P334" s="95"/>
      <c r="Q334" s="95"/>
      <c r="R334" s="95"/>
      <c r="S334" s="95"/>
      <c r="T334" s="95"/>
      <c r="U334" s="95"/>
      <c r="V334" s="95"/>
      <c r="W334" s="95"/>
      <c r="X334" s="95"/>
      <c r="Y334" s="95"/>
      <c r="Z334" s="95"/>
      <c r="AA334" s="95"/>
      <c r="AB334" s="95"/>
      <c r="AC334" s="95"/>
    </row>
    <row r="335" ht="15.75" customHeight="1" spans="1:29">
      <c r="A335" s="95"/>
      <c r="B335" s="95"/>
      <c r="C335" s="102" t="str">
        <f>IFERROR(__xludf.DUMMYFUNCTION("""COMPUTED_VALUE"""),"ESCOLA MUNICIPAL NOSSA SENHORA DE FATIMA")</f>
        <v>ESCOLA MUNICIPAL NOSSA SENHORA DE FATIMA</v>
      </c>
      <c r="D335" s="95" t="str">
        <f>IFERROR(__xludf.DUMMYFUNCTION("""COMPUTED_VALUE"""),"INFANTIL 4")</f>
        <v>INFANTIL 4</v>
      </c>
      <c r="E335" s="95" t="str">
        <f>IFERROR(__xludf.DUMMYFUNCTION("""COMPUTED_VALUE"""),"Matutino/Manhã")</f>
        <v>Matutino/Manhã</v>
      </c>
      <c r="F335" s="95" t="str">
        <f>IFERROR(__xludf.DUMMYFUNCTION("""COMPUTED_VALUE"""),"Comum")</f>
        <v>Comum</v>
      </c>
      <c r="G335" s="95" t="str">
        <f>IFERROR(__xludf.DUMMYFUNCTION("""COMPUTED_VALUE"""),"3")</f>
        <v>3</v>
      </c>
      <c r="H335" s="95" t="str">
        <f>IFERROR(__xludf.DUMMYFUNCTION("""COMPUTED_VALUE"""),"26012846751")</f>
        <v>26012846751</v>
      </c>
      <c r="I335" s="103" t="str">
        <f>IFERROR(__xludf.DUMMYFUNCTION("""COMPUTED_VALUE"""),"29/01/2026 09:39:38")</f>
        <v>29/01/2026 09:39:38</v>
      </c>
      <c r="J335" s="95" t="str">
        <f>IFERROR(__xludf.DUMMYFUNCTION("""COMPUTED_VALUE"""),"ÁGATHA MARCELLY PEREIRA DA SILVA MELO")</f>
        <v>ÁGATHA MARCELLY PEREIRA DA SILVA MELO</v>
      </c>
      <c r="K335" s="95" t="str">
        <f>IFERROR(__xludf.DUMMYFUNCTION("""COMPUTED_VALUE"""),"178.099.504-01")</f>
        <v>178.099.504-01</v>
      </c>
      <c r="L335" s="104" t="str">
        <f>IFERROR(__xludf.DUMMYFUNCTION("""COMPUTED_VALUE"""),"17/08/2021")</f>
        <v>17/08/2021</v>
      </c>
      <c r="M335" s="104"/>
      <c r="N335" s="95" t="str">
        <f>IFERROR(__xludf.DUMMYFUNCTION("""COMPUTED_VALUE"""),"0")</f>
        <v>0</v>
      </c>
      <c r="O335" s="95"/>
      <c r="P335" s="95"/>
      <c r="Q335" s="95"/>
      <c r="R335" s="95"/>
      <c r="S335" s="95"/>
      <c r="T335" s="95"/>
      <c r="U335" s="95"/>
      <c r="V335" s="95"/>
      <c r="W335" s="95"/>
      <c r="X335" s="95"/>
      <c r="Y335" s="95"/>
      <c r="Z335" s="95"/>
      <c r="AA335" s="95"/>
      <c r="AB335" s="95"/>
      <c r="AC335" s="95"/>
    </row>
    <row r="336" ht="15.75" customHeight="1" spans="1:29">
      <c r="A336" s="95"/>
      <c r="B336" s="95"/>
      <c r="C336" s="102" t="str">
        <f>IFERROR(__xludf.DUMMYFUNCTION("""COMPUTED_VALUE"""),"ESCOLA MUNICIPAL NOSSA SENHORA DE FATIMA")</f>
        <v>ESCOLA MUNICIPAL NOSSA SENHORA DE FATIMA</v>
      </c>
      <c r="D336" s="95" t="str">
        <f>IFERROR(__xludf.DUMMYFUNCTION("""COMPUTED_VALUE"""),"INFANTIL 4")</f>
        <v>INFANTIL 4</v>
      </c>
      <c r="E336" s="95" t="str">
        <f>IFERROR(__xludf.DUMMYFUNCTION("""COMPUTED_VALUE"""),"Matutino/Manhã")</f>
        <v>Matutino/Manhã</v>
      </c>
      <c r="F336" s="95" t="str">
        <f>IFERROR(__xludf.DUMMYFUNCTION("""COMPUTED_VALUE"""),"Comum")</f>
        <v>Comum</v>
      </c>
      <c r="G336" s="95" t="str">
        <f>IFERROR(__xludf.DUMMYFUNCTION("""COMPUTED_VALUE"""),"4")</f>
        <v>4</v>
      </c>
      <c r="H336" s="95" t="str">
        <f>IFERROR(__xludf.DUMMYFUNCTION("""COMPUTED_VALUE"""),"26012074325")</f>
        <v>26012074325</v>
      </c>
      <c r="I336" s="103" t="str">
        <f>IFERROR(__xludf.DUMMYFUNCTION("""COMPUTED_VALUE"""),"29/01/2026 12:05:04")</f>
        <v>29/01/2026 12:05:04</v>
      </c>
      <c r="J336" s="95" t="str">
        <f>IFERROR(__xludf.DUMMYFUNCTION("""COMPUTED_VALUE"""),"RUI DE FREITAS SALLES NETO")</f>
        <v>RUI DE FREITAS SALLES NETO</v>
      </c>
      <c r="K336" s="95" t="str">
        <f>IFERROR(__xludf.DUMMYFUNCTION("""COMPUTED_VALUE"""),"178.934.424-76")</f>
        <v>178.934.424-76</v>
      </c>
      <c r="L336" s="104" t="str">
        <f>IFERROR(__xludf.DUMMYFUNCTION("""COMPUTED_VALUE"""),"23/08/2021")</f>
        <v>23/08/2021</v>
      </c>
      <c r="M336" s="104"/>
      <c r="N336" s="95" t="str">
        <f>IFERROR(__xludf.DUMMYFUNCTION("""COMPUTED_VALUE"""),"0")</f>
        <v>0</v>
      </c>
      <c r="O336" s="95"/>
      <c r="P336" s="95"/>
      <c r="Q336" s="95"/>
      <c r="R336" s="95"/>
      <c r="S336" s="95"/>
      <c r="T336" s="95"/>
      <c r="U336" s="95"/>
      <c r="V336" s="95"/>
      <c r="W336" s="95"/>
      <c r="X336" s="95"/>
      <c r="Y336" s="95"/>
      <c r="Z336" s="95"/>
      <c r="AA336" s="95"/>
      <c r="AB336" s="95"/>
      <c r="AC336" s="95"/>
    </row>
    <row r="337" ht="15.75" customHeight="1" spans="1:29">
      <c r="A337" s="95"/>
      <c r="B337" s="95"/>
      <c r="C337" s="102" t="str">
        <f>IFERROR(__xludf.DUMMYFUNCTION("""COMPUTED_VALUE"""),"ESCOLA MUNICIPAL NOSSA SENHORA DE FATIMA")</f>
        <v>ESCOLA MUNICIPAL NOSSA SENHORA DE FATIMA</v>
      </c>
      <c r="D337" s="95" t="str">
        <f>IFERROR(__xludf.DUMMYFUNCTION("""COMPUTED_VALUE"""),"INFANTIL 4")</f>
        <v>INFANTIL 4</v>
      </c>
      <c r="E337" s="95" t="str">
        <f>IFERROR(__xludf.DUMMYFUNCTION("""COMPUTED_VALUE"""),"Matutino/Manhã")</f>
        <v>Matutino/Manhã</v>
      </c>
      <c r="F337" s="95" t="str">
        <f>IFERROR(__xludf.DUMMYFUNCTION("""COMPUTED_VALUE"""),"Comum")</f>
        <v>Comum</v>
      </c>
      <c r="G337" s="95" t="str">
        <f>IFERROR(__xludf.DUMMYFUNCTION("""COMPUTED_VALUE"""),"5")</f>
        <v>5</v>
      </c>
      <c r="H337" s="95" t="str">
        <f>IFERROR(__xludf.DUMMYFUNCTION("""COMPUTED_VALUE"""),"26012190088")</f>
        <v>26012190088</v>
      </c>
      <c r="I337" s="103" t="str">
        <f>IFERROR(__xludf.DUMMYFUNCTION("""COMPUTED_VALUE"""),"29/01/2026 14:03:28")</f>
        <v>29/01/2026 14:03:28</v>
      </c>
      <c r="J337" s="95" t="str">
        <f>IFERROR(__xludf.DUMMYFUNCTION("""COMPUTED_VALUE"""),"KAROLINE EMANUELE PEREIRA DE ARRUDA")</f>
        <v>KAROLINE EMANUELE PEREIRA DE ARRUDA</v>
      </c>
      <c r="K337" s="95" t="str">
        <f>IFERROR(__xludf.DUMMYFUNCTION("""COMPUTED_VALUE"""),"179.915.634-64")</f>
        <v>179.915.634-64</v>
      </c>
      <c r="L337" s="104" t="str">
        <f>IFERROR(__xludf.DUMMYFUNCTION("""COMPUTED_VALUE"""),"12/01/2022")</f>
        <v>12/01/2022</v>
      </c>
      <c r="M337" s="104"/>
      <c r="N337" s="95" t="str">
        <f>IFERROR(__xludf.DUMMYFUNCTION("""COMPUTED_VALUE"""),"0")</f>
        <v>0</v>
      </c>
      <c r="O337" s="95"/>
      <c r="P337" s="95"/>
      <c r="Q337" s="95"/>
      <c r="R337" s="95"/>
      <c r="S337" s="95"/>
      <c r="T337" s="95"/>
      <c r="U337" s="95"/>
      <c r="V337" s="95"/>
      <c r="W337" s="95"/>
      <c r="X337" s="95"/>
      <c r="Y337" s="95"/>
      <c r="Z337" s="95"/>
      <c r="AA337" s="95"/>
      <c r="AB337" s="95"/>
      <c r="AC337" s="95"/>
    </row>
    <row r="338" ht="15.75" customHeight="1" spans="1:29">
      <c r="A338" s="95"/>
      <c r="B338" s="95"/>
      <c r="C338" s="102" t="str">
        <f>IFERROR(__xludf.DUMMYFUNCTION("""COMPUTED_VALUE"""),"ESCOLA MUNICIPAL NOSSA SENHORA DE FATIMA")</f>
        <v>ESCOLA MUNICIPAL NOSSA SENHORA DE FATIMA</v>
      </c>
      <c r="D338" s="95" t="str">
        <f>IFERROR(__xludf.DUMMYFUNCTION("""COMPUTED_VALUE"""),"INFANTIL 4")</f>
        <v>INFANTIL 4</v>
      </c>
      <c r="E338" s="95" t="str">
        <f>IFERROR(__xludf.DUMMYFUNCTION("""COMPUTED_VALUE"""),"Matutino/Manhã")</f>
        <v>Matutino/Manhã</v>
      </c>
      <c r="F338" s="95" t="str">
        <f>IFERROR(__xludf.DUMMYFUNCTION("""COMPUTED_VALUE"""),"Comum")</f>
        <v>Comum</v>
      </c>
      <c r="G338" s="95" t="str">
        <f>IFERROR(__xludf.DUMMYFUNCTION("""COMPUTED_VALUE"""),"6")</f>
        <v>6</v>
      </c>
      <c r="H338" s="95" t="str">
        <f>IFERROR(__xludf.DUMMYFUNCTION("""COMPUTED_VALUE"""),"26032086981")</f>
        <v>26032086981</v>
      </c>
      <c r="I338" s="103" t="str">
        <f>IFERROR(__xludf.DUMMYFUNCTION("""COMPUTED_VALUE"""),"05/03/2026 15:12:55")</f>
        <v>05/03/2026 15:12:55</v>
      </c>
      <c r="J338" s="95" t="str">
        <f>IFERROR(__xludf.DUMMYFUNCTION("""COMPUTED_VALUE"""),"LUCCA LORENZO MARCIONILO MALTA")</f>
        <v>LUCCA LORENZO MARCIONILO MALTA</v>
      </c>
      <c r="K338" s="95" t="str">
        <f>IFERROR(__xludf.DUMMYFUNCTION("""COMPUTED_VALUE"""),"179.345.684-44")</f>
        <v>179.345.684-44</v>
      </c>
      <c r="L338" s="104" t="str">
        <f>IFERROR(__xludf.DUMMYFUNCTION("""COMPUTED_VALUE"""),"08/11/2021")</f>
        <v>08/11/2021</v>
      </c>
      <c r="M338" s="104"/>
      <c r="N338" s="95" t="str">
        <f>IFERROR(__xludf.DUMMYFUNCTION("""COMPUTED_VALUE"""),"0")</f>
        <v>0</v>
      </c>
      <c r="O338" s="95"/>
      <c r="P338" s="95"/>
      <c r="Q338" s="95"/>
      <c r="R338" s="95"/>
      <c r="S338" s="95"/>
      <c r="T338" s="95"/>
      <c r="U338" s="95"/>
      <c r="V338" s="95"/>
      <c r="W338" s="95"/>
      <c r="X338" s="95"/>
      <c r="Y338" s="95"/>
      <c r="Z338" s="95"/>
      <c r="AA338" s="95"/>
      <c r="AB338" s="95"/>
      <c r="AC338" s="95"/>
    </row>
    <row r="339" ht="15.75" customHeight="1" spans="1:29">
      <c r="A339" s="95"/>
      <c r="B339" s="95"/>
      <c r="C339" s="102" t="str">
        <f>IFERROR(__xludf.DUMMYFUNCTION("""COMPUTED_VALUE"""),"ESCOLA MUNICIPAL NOSSA SENHORA DE FATIMA")</f>
        <v>ESCOLA MUNICIPAL NOSSA SENHORA DE FATIMA</v>
      </c>
      <c r="D339" s="95" t="str">
        <f>IFERROR(__xludf.DUMMYFUNCTION("""COMPUTED_VALUE"""),"INFANTIL 4")</f>
        <v>INFANTIL 4</v>
      </c>
      <c r="E339" s="95" t="str">
        <f>IFERROR(__xludf.DUMMYFUNCTION("""COMPUTED_VALUE"""),"Vespertino/Tarde")</f>
        <v>Vespertino/Tarde</v>
      </c>
      <c r="F339" s="95" t="str">
        <f>IFERROR(__xludf.DUMMYFUNCTION("""COMPUTED_VALUE"""),"Comum")</f>
        <v>Comum</v>
      </c>
      <c r="G339" s="95" t="str">
        <f>IFERROR(__xludf.DUMMYFUNCTION("""COMPUTED_VALUE"""),"1")</f>
        <v>1</v>
      </c>
      <c r="H339" s="95" t="str">
        <f>IFERROR(__xludf.DUMMYFUNCTION("""COMPUTED_VALUE"""),"26012775453")</f>
        <v>26012775453</v>
      </c>
      <c r="I339" s="103" t="str">
        <f>IFERROR(__xludf.DUMMYFUNCTION("""COMPUTED_VALUE"""),"28/01/2026 08:37:10")</f>
        <v>28/01/2026 08:37:10</v>
      </c>
      <c r="J339" s="95" t="str">
        <f>IFERROR(__xludf.DUMMYFUNCTION("""COMPUTED_VALUE"""),"ROBERT BENÍCIO DA SILVA QUARESMA")</f>
        <v>ROBERT BENÍCIO DA SILVA QUARESMA</v>
      </c>
      <c r="K339" s="95" t="str">
        <f>IFERROR(__xludf.DUMMYFUNCTION("""COMPUTED_VALUE"""),"180.371.084-57")</f>
        <v>180.371.084-57</v>
      </c>
      <c r="L339" s="104" t="str">
        <f>IFERROR(__xludf.DUMMYFUNCTION("""COMPUTED_VALUE"""),"11/01/2022")</f>
        <v>11/01/2022</v>
      </c>
      <c r="M339" s="104"/>
      <c r="N339" s="95" t="str">
        <f>IFERROR(__xludf.DUMMYFUNCTION("""COMPUTED_VALUE"""),"0")</f>
        <v>0</v>
      </c>
      <c r="O339" s="95"/>
      <c r="P339" s="95"/>
      <c r="Q339" s="95"/>
      <c r="R339" s="95"/>
      <c r="S339" s="95"/>
      <c r="T339" s="95"/>
      <c r="U339" s="95"/>
      <c r="V339" s="95"/>
      <c r="W339" s="95"/>
      <c r="X339" s="95"/>
      <c r="Y339" s="95"/>
      <c r="Z339" s="95"/>
      <c r="AA339" s="95"/>
      <c r="AB339" s="95"/>
      <c r="AC339" s="95"/>
    </row>
    <row r="340" ht="15.75" customHeight="1" spans="1:29">
      <c r="A340" s="95"/>
      <c r="B340" s="95"/>
      <c r="C340" s="102" t="str">
        <f>IFERROR(__xludf.DUMMYFUNCTION("""COMPUTED_VALUE"""),"ESCOLA MUNICIPAL NOSSA SENHORA DE FATIMA")</f>
        <v>ESCOLA MUNICIPAL NOSSA SENHORA DE FATIMA</v>
      </c>
      <c r="D340" s="95" t="str">
        <f>IFERROR(__xludf.DUMMYFUNCTION("""COMPUTED_VALUE"""),"INFANTIL 4")</f>
        <v>INFANTIL 4</v>
      </c>
      <c r="E340" s="95" t="str">
        <f>IFERROR(__xludf.DUMMYFUNCTION("""COMPUTED_VALUE"""),"Vespertino/Tarde")</f>
        <v>Vespertino/Tarde</v>
      </c>
      <c r="F340" s="95" t="str">
        <f>IFERROR(__xludf.DUMMYFUNCTION("""COMPUTED_VALUE"""),"Comum")</f>
        <v>Comum</v>
      </c>
      <c r="G340" s="95" t="str">
        <f>IFERROR(__xludf.DUMMYFUNCTION("""COMPUTED_VALUE"""),"2")</f>
        <v>2</v>
      </c>
      <c r="H340" s="95" t="str">
        <f>IFERROR(__xludf.DUMMYFUNCTION("""COMPUTED_VALUE"""),"26012175189")</f>
        <v>26012175189</v>
      </c>
      <c r="I340" s="103" t="str">
        <f>IFERROR(__xludf.DUMMYFUNCTION("""COMPUTED_VALUE"""),"29/01/2026 10:59:28")</f>
        <v>29/01/2026 10:59:28</v>
      </c>
      <c r="J340" s="95" t="str">
        <f>IFERROR(__xludf.DUMMYFUNCTION("""COMPUTED_VALUE"""),"GEOVANA BEATRIZ DA SILVA")</f>
        <v>GEOVANA BEATRIZ DA SILVA</v>
      </c>
      <c r="K340" s="95" t="str">
        <f>IFERROR(__xludf.DUMMYFUNCTION("""COMPUTED_VALUE"""),"177.059.234-24")</f>
        <v>177.059.234-24</v>
      </c>
      <c r="L340" s="106" t="str">
        <f>IFERROR(__xludf.DUMMYFUNCTION("""COMPUTED_VALUE"""),"12/06/2021")</f>
        <v>12/06/2021</v>
      </c>
      <c r="M340" s="106"/>
      <c r="N340" s="95" t="str">
        <f>IFERROR(__xludf.DUMMYFUNCTION("""COMPUTED_VALUE"""),"0")</f>
        <v>0</v>
      </c>
      <c r="O340" s="95"/>
      <c r="P340" s="95"/>
      <c r="Q340" s="95"/>
      <c r="R340" s="95"/>
      <c r="S340" s="95"/>
      <c r="T340" s="95"/>
      <c r="U340" s="95"/>
      <c r="V340" s="95"/>
      <c r="W340" s="95"/>
      <c r="X340" s="95"/>
      <c r="Y340" s="95"/>
      <c r="Z340" s="95"/>
      <c r="AA340" s="95"/>
      <c r="AB340" s="95"/>
      <c r="AC340" s="95"/>
    </row>
    <row r="341" ht="15.75" customHeight="1" spans="1:29">
      <c r="A341" s="95"/>
      <c r="B341" s="95"/>
      <c r="C341" s="102" t="str">
        <f>IFERROR(__xludf.DUMMYFUNCTION("""COMPUTED_VALUE"""),"ESCOLA MUNICIPAL NOSSA SENHORA DE FATIMA")</f>
        <v>ESCOLA MUNICIPAL NOSSA SENHORA DE FATIMA</v>
      </c>
      <c r="D341" s="95" t="str">
        <f>IFERROR(__xludf.DUMMYFUNCTION("""COMPUTED_VALUE"""),"INFANTIL 4")</f>
        <v>INFANTIL 4</v>
      </c>
      <c r="E341" s="95" t="str">
        <f>IFERROR(__xludf.DUMMYFUNCTION("""COMPUTED_VALUE"""),"Vespertino/Tarde")</f>
        <v>Vespertino/Tarde</v>
      </c>
      <c r="F341" s="95" t="str">
        <f>IFERROR(__xludf.DUMMYFUNCTION("""COMPUTED_VALUE"""),"Comum")</f>
        <v>Comum</v>
      </c>
      <c r="G341" s="95" t="str">
        <f>IFERROR(__xludf.DUMMYFUNCTION("""COMPUTED_VALUE"""),"3")</f>
        <v>3</v>
      </c>
      <c r="H341" s="95" t="str">
        <f>IFERROR(__xludf.DUMMYFUNCTION("""COMPUTED_VALUE"""),"26012715363")</f>
        <v>26012715363</v>
      </c>
      <c r="I341" s="105" t="str">
        <f>IFERROR(__xludf.DUMMYFUNCTION("""COMPUTED_VALUE"""),"29/01/2026 11:30:25")</f>
        <v>29/01/2026 11:30:25</v>
      </c>
      <c r="J341" s="95" t="str">
        <f>IFERROR(__xludf.DUMMYFUNCTION("""COMPUTED_VALUE"""),"ARTHUR HENRIQUE ALVES DA SILVA")</f>
        <v>ARTHUR HENRIQUE ALVES DA SILVA</v>
      </c>
      <c r="K341" s="95" t="str">
        <f>IFERROR(__xludf.DUMMYFUNCTION("""COMPUTED_VALUE"""),"177.774.854-23")</f>
        <v>177.774.854-23</v>
      </c>
      <c r="L341" s="104" t="str">
        <f>IFERROR(__xludf.DUMMYFUNCTION("""COMPUTED_VALUE"""),"20/07/2021")</f>
        <v>20/07/2021</v>
      </c>
      <c r="M341" s="104"/>
      <c r="N341" s="95" t="str">
        <f>IFERROR(__xludf.DUMMYFUNCTION("""COMPUTED_VALUE"""),"0")</f>
        <v>0</v>
      </c>
      <c r="O341" s="95"/>
      <c r="P341" s="95"/>
      <c r="Q341" s="95"/>
      <c r="R341" s="95"/>
      <c r="S341" s="95"/>
      <c r="T341" s="95"/>
      <c r="U341" s="95"/>
      <c r="V341" s="95"/>
      <c r="W341" s="95"/>
      <c r="X341" s="95"/>
      <c r="Y341" s="95"/>
      <c r="Z341" s="95"/>
      <c r="AA341" s="95"/>
      <c r="AB341" s="95"/>
      <c r="AC341" s="95"/>
    </row>
    <row r="342" ht="15.75" customHeight="1" spans="1:29">
      <c r="A342" s="95"/>
      <c r="B342" s="95"/>
      <c r="C342" s="102" t="str">
        <f>IFERROR(__xludf.DUMMYFUNCTION("""COMPUTED_VALUE"""),"ESCOLA MUNICIPAL NOSSA SENHORA DO LORETO")</f>
        <v>ESCOLA MUNICIPAL NOSSA SENHORA DO LORETO</v>
      </c>
      <c r="D342" s="95" t="str">
        <f>IFERROR(__xludf.DUMMYFUNCTION("""COMPUTED_VALUE"""),"INFANTIL 5")</f>
        <v>INFANTIL 5</v>
      </c>
      <c r="E342" s="95" t="str">
        <f>IFERROR(__xludf.DUMMYFUNCTION("""COMPUTED_VALUE"""),"Vespertino/Tarde")</f>
        <v>Vespertino/Tarde</v>
      </c>
      <c r="F342" s="95" t="str">
        <f>IFERROR(__xludf.DUMMYFUNCTION("""COMPUTED_VALUE"""),"Comum")</f>
        <v>Comum</v>
      </c>
      <c r="G342" s="95" t="str">
        <f>IFERROR(__xludf.DUMMYFUNCTION("""COMPUTED_VALUE"""),"1")</f>
        <v>1</v>
      </c>
      <c r="H342" s="95" t="str">
        <f>IFERROR(__xludf.DUMMYFUNCTION("""COMPUTED_VALUE"""),"26032632240")</f>
        <v>26032632240</v>
      </c>
      <c r="I342" s="105" t="str">
        <f>IFERROR(__xludf.DUMMYFUNCTION("""COMPUTED_VALUE"""),"19/03/2026 11:51:08")</f>
        <v>19/03/2026 11:51:08</v>
      </c>
      <c r="J342" s="95" t="str">
        <f>IFERROR(__xludf.DUMMYFUNCTION("""COMPUTED_VALUE"""),"LORRANE GEOVANA COSMO DA SILVA")</f>
        <v>LORRANE GEOVANA COSMO DA SILVA</v>
      </c>
      <c r="K342" s="95" t="str">
        <f>IFERROR(__xludf.DUMMYFUNCTION("""COMPUTED_VALUE"""),"175.597.714-08")</f>
        <v>175.597.714-08</v>
      </c>
      <c r="L342" s="104" t="str">
        <f>IFERROR(__xludf.DUMMYFUNCTION("""COMPUTED_VALUE"""),"02/12/2020")</f>
        <v>02/12/2020</v>
      </c>
      <c r="M342" s="106"/>
      <c r="N342" s="95" t="str">
        <f>IFERROR(__xludf.DUMMYFUNCTION("""COMPUTED_VALUE"""),"0")</f>
        <v>0</v>
      </c>
      <c r="O342" s="95"/>
      <c r="P342" s="95"/>
      <c r="Q342" s="95"/>
      <c r="R342" s="95"/>
      <c r="S342" s="95"/>
      <c r="T342" s="95"/>
      <c r="U342" s="95"/>
      <c r="V342" s="95"/>
      <c r="W342" s="95"/>
      <c r="X342" s="95"/>
      <c r="Y342" s="95"/>
      <c r="Z342" s="95"/>
      <c r="AA342" s="95"/>
      <c r="AB342" s="95"/>
      <c r="AC342" s="95"/>
    </row>
    <row r="343" ht="15.75" customHeight="1" spans="1:29">
      <c r="A343" s="95"/>
      <c r="B343" s="95"/>
      <c r="C343" s="102" t="str">
        <f>IFERROR(__xludf.DUMMYFUNCTION("""COMPUTED_VALUE"""),"ESCOLA MUNICIPAL PADRE AURINO CARACCIOLO")</f>
        <v>ESCOLA MUNICIPAL PADRE AURINO CARACCIOLO</v>
      </c>
      <c r="D343" s="95" t="str">
        <f>IFERROR(__xludf.DUMMYFUNCTION("""COMPUTED_VALUE"""),"INFANTIL 4")</f>
        <v>INFANTIL 4</v>
      </c>
      <c r="E343" s="95" t="str">
        <f>IFERROR(__xludf.DUMMYFUNCTION("""COMPUTED_VALUE"""),"Vespertino/Tarde")</f>
        <v>Vespertino/Tarde</v>
      </c>
      <c r="F343" s="95" t="str">
        <f>IFERROR(__xludf.DUMMYFUNCTION("""COMPUTED_VALUE"""),"Comum")</f>
        <v>Comum</v>
      </c>
      <c r="G343" s="95" t="str">
        <f>IFERROR(__xludf.DUMMYFUNCTION("""COMPUTED_VALUE"""),"1")</f>
        <v>1</v>
      </c>
      <c r="H343" s="95" t="str">
        <f>IFERROR(__xludf.DUMMYFUNCTION("""COMPUTED_VALUE"""),"26012968388")</f>
        <v>26012968388</v>
      </c>
      <c r="I343" s="105" t="str">
        <f>IFERROR(__xludf.DUMMYFUNCTION("""COMPUTED_VALUE"""),"29/01/2026 13:38:28")</f>
        <v>29/01/2026 13:38:28</v>
      </c>
      <c r="J343" s="95" t="str">
        <f>IFERROR(__xludf.DUMMYFUNCTION("""COMPUTED_VALUE"""),"MARYA ALLICE PALMEIRA BARRETO DA SILVA")</f>
        <v>MARYA ALLICE PALMEIRA BARRETO DA SILVA</v>
      </c>
      <c r="K343" s="95" t="str">
        <f>IFERROR(__xludf.DUMMYFUNCTION("""COMPUTED_VALUE"""),"178.982.784-10")</f>
        <v>178.982.784-10</v>
      </c>
      <c r="L343" s="104" t="str">
        <f>IFERROR(__xludf.DUMMYFUNCTION("""COMPUTED_VALUE"""),"20/10/2021")</f>
        <v>20/10/2021</v>
      </c>
      <c r="M343" s="104"/>
      <c r="N343" s="95" t="str">
        <f>IFERROR(__xludf.DUMMYFUNCTION("""COMPUTED_VALUE"""),"0")</f>
        <v>0</v>
      </c>
      <c r="O343" s="95"/>
      <c r="P343" s="95"/>
      <c r="Q343" s="95"/>
      <c r="R343" s="95"/>
      <c r="S343" s="95"/>
      <c r="T343" s="95"/>
      <c r="U343" s="95"/>
      <c r="V343" s="95"/>
      <c r="W343" s="95"/>
      <c r="X343" s="95"/>
      <c r="Y343" s="95"/>
      <c r="Z343" s="95"/>
      <c r="AA343" s="95"/>
      <c r="AB343" s="95"/>
      <c r="AC343" s="95"/>
    </row>
    <row r="344" ht="15.75" customHeight="1" spans="1:29">
      <c r="A344" s="95"/>
      <c r="B344" s="95"/>
      <c r="C344" s="102" t="str">
        <f>IFERROR(__xludf.DUMMYFUNCTION("""COMPUTED_VALUE"""),"ESCOLA MUNICIPAL PADRE AURINO CARACCIOLO")</f>
        <v>ESCOLA MUNICIPAL PADRE AURINO CARACCIOLO</v>
      </c>
      <c r="D344" s="95" t="str">
        <f>IFERROR(__xludf.DUMMYFUNCTION("""COMPUTED_VALUE"""),"INFANTIL 5")</f>
        <v>INFANTIL 5</v>
      </c>
      <c r="E344" s="95" t="str">
        <f>IFERROR(__xludf.DUMMYFUNCTION("""COMPUTED_VALUE"""),"Matutino/Manhã")</f>
        <v>Matutino/Manhã</v>
      </c>
      <c r="F344" s="95" t="str">
        <f>IFERROR(__xludf.DUMMYFUNCTION("""COMPUTED_VALUE"""),"Comum")</f>
        <v>Comum</v>
      </c>
      <c r="G344" s="95" t="str">
        <f>IFERROR(__xludf.DUMMYFUNCTION("""COMPUTED_VALUE"""),"1")</f>
        <v>1</v>
      </c>
      <c r="H344" s="95" t="str">
        <f>IFERROR(__xludf.DUMMYFUNCTION("""COMPUTED_VALUE"""),"26042609680")</f>
        <v>26042609680</v>
      </c>
      <c r="I344" s="105" t="str">
        <f>IFERROR(__xludf.DUMMYFUNCTION("""COMPUTED_VALUE"""),"16/04/2026 17:33:13")</f>
        <v>16/04/2026 17:33:13</v>
      </c>
      <c r="J344" s="95" t="str">
        <f>IFERROR(__xludf.DUMMYFUNCTION("""COMPUTED_VALUE"""),"MARIA HELENA BARBOSA DOS SANTOS")</f>
        <v>MARIA HELENA BARBOSA DOS SANTOS</v>
      </c>
      <c r="K344" s="95" t="str">
        <f>IFERROR(__xludf.DUMMYFUNCTION("""COMPUTED_VALUE"""),"175.473.274-78")</f>
        <v>175.473.274-78</v>
      </c>
      <c r="L344" s="104" t="str">
        <f>IFERROR(__xludf.DUMMYFUNCTION("""COMPUTED_VALUE"""),"23/01/2021")</f>
        <v>23/01/2021</v>
      </c>
      <c r="M344" s="104"/>
      <c r="N344" s="95" t="str">
        <f>IFERROR(__xludf.DUMMYFUNCTION("""COMPUTED_VALUE"""),"0")</f>
        <v>0</v>
      </c>
      <c r="O344" s="95"/>
      <c r="P344" s="95"/>
      <c r="Q344" s="95"/>
      <c r="R344" s="95"/>
      <c r="S344" s="95"/>
      <c r="T344" s="95"/>
      <c r="U344" s="95"/>
      <c r="V344" s="95"/>
      <c r="W344" s="95"/>
      <c r="X344" s="95"/>
      <c r="Y344" s="95"/>
      <c r="Z344" s="95"/>
      <c r="AA344" s="95"/>
      <c r="AB344" s="95"/>
      <c r="AC344" s="95"/>
    </row>
    <row r="345" ht="15.75" customHeight="1" spans="1:29">
      <c r="A345" s="95"/>
      <c r="B345" s="95"/>
      <c r="C345" s="102" t="str">
        <f>IFERROR(__xludf.DUMMYFUNCTION("""COMPUTED_VALUE"""),"ESCOLA MUNICIPAL PADRE AURINO CARACCIOLO")</f>
        <v>ESCOLA MUNICIPAL PADRE AURINO CARACCIOLO</v>
      </c>
      <c r="D345" s="95" t="str">
        <f>IFERROR(__xludf.DUMMYFUNCTION("""COMPUTED_VALUE"""),"INFANTIL 5")</f>
        <v>INFANTIL 5</v>
      </c>
      <c r="E345" s="95" t="str">
        <f>IFERROR(__xludf.DUMMYFUNCTION("""COMPUTED_VALUE"""),"Vespertino/Tarde")</f>
        <v>Vespertino/Tarde</v>
      </c>
      <c r="F345" s="95" t="str">
        <f>IFERROR(__xludf.DUMMYFUNCTION("""COMPUTED_VALUE"""),"Comum")</f>
        <v>Comum</v>
      </c>
      <c r="G345" s="95" t="str">
        <f>IFERROR(__xludf.DUMMYFUNCTION("""COMPUTED_VALUE"""),"1")</f>
        <v>1</v>
      </c>
      <c r="H345" s="95" t="str">
        <f>IFERROR(__xludf.DUMMYFUNCTION("""COMPUTED_VALUE"""),"26052096453")</f>
        <v>26052096453</v>
      </c>
      <c r="I345" s="105" t="str">
        <f>IFERROR(__xludf.DUMMYFUNCTION("""COMPUTED_VALUE"""),"19/05/2026 13:20:31")</f>
        <v>19/05/2026 13:20:31</v>
      </c>
      <c r="J345" s="95" t="str">
        <f>IFERROR(__xludf.DUMMYFUNCTION("""COMPUTED_VALUE"""),"Eloá Gabriela Ferreira")</f>
        <v>Eloá Gabriela Ferreira</v>
      </c>
      <c r="K345" s="95" t="str">
        <f>IFERROR(__xludf.DUMMYFUNCTION("""COMPUTED_VALUE"""),"173.038.194-44")</f>
        <v>173.038.194-44</v>
      </c>
      <c r="L345" s="104" t="str">
        <f>IFERROR(__xludf.DUMMYFUNCTION("""COMPUTED_VALUE"""),"13/08/2020")</f>
        <v>13/08/2020</v>
      </c>
      <c r="M345" s="104"/>
      <c r="N345" s="95" t="str">
        <f>IFERROR(__xludf.DUMMYFUNCTION("""COMPUTED_VALUE"""),"0")</f>
        <v>0</v>
      </c>
      <c r="O345" s="95"/>
      <c r="P345" s="95"/>
      <c r="Q345" s="95"/>
      <c r="R345" s="95"/>
      <c r="S345" s="95"/>
      <c r="T345" s="95"/>
      <c r="U345" s="95"/>
      <c r="V345" s="95"/>
      <c r="W345" s="95"/>
      <c r="X345" s="95"/>
      <c r="Y345" s="95"/>
      <c r="Z345" s="95"/>
      <c r="AA345" s="95"/>
      <c r="AB345" s="95"/>
      <c r="AC345" s="95"/>
    </row>
    <row r="346" ht="15.75" customHeight="1" spans="1:29">
      <c r="A346" s="95"/>
      <c r="B346" s="95"/>
      <c r="C346" s="102" t="str">
        <f>IFERROR(__xludf.DUMMYFUNCTION("""COMPUTED_VALUE"""),"ESCOLA MUNICIPAL POETA VINICIUS DE MORAIS")</f>
        <v>ESCOLA MUNICIPAL POETA VINICIUS DE MORAIS</v>
      </c>
      <c r="D346" s="95" t="str">
        <f>IFERROR(__xludf.DUMMYFUNCTION("""COMPUTED_VALUE"""),"INFANTIL 4")</f>
        <v>INFANTIL 4</v>
      </c>
      <c r="E346" s="95" t="str">
        <f>IFERROR(__xludf.DUMMYFUNCTION("""COMPUTED_VALUE"""),"Vespertino/Tarde")</f>
        <v>Vespertino/Tarde</v>
      </c>
      <c r="F346" s="95" t="str">
        <f>IFERROR(__xludf.DUMMYFUNCTION("""COMPUTED_VALUE"""),"Comum")</f>
        <v>Comum</v>
      </c>
      <c r="G346" s="95" t="str">
        <f>IFERROR(__xludf.DUMMYFUNCTION("""COMPUTED_VALUE"""),"1")</f>
        <v>1</v>
      </c>
      <c r="H346" s="95" t="str">
        <f>IFERROR(__xludf.DUMMYFUNCTION("""COMPUTED_VALUE"""),"26022124778")</f>
        <v>26022124778</v>
      </c>
      <c r="I346" s="105" t="str">
        <f>IFERROR(__xludf.DUMMYFUNCTION("""COMPUTED_VALUE"""),"03/02/2026 11:30:10")</f>
        <v>03/02/2026 11:30:10</v>
      </c>
      <c r="J346" s="95" t="str">
        <f>IFERROR(__xludf.DUMMYFUNCTION("""COMPUTED_VALUE"""),"THALYSSON DAVID FARIAS DA SILVA")</f>
        <v>THALYSSON DAVID FARIAS DA SILVA</v>
      </c>
      <c r="K346" s="95" t="str">
        <f>IFERROR(__xludf.DUMMYFUNCTION("""COMPUTED_VALUE"""),"177.691.954-89")</f>
        <v>177.691.954-89</v>
      </c>
      <c r="L346" s="104" t="str">
        <f>IFERROR(__xludf.DUMMYFUNCTION("""COMPUTED_VALUE"""),"18/07/2021")</f>
        <v>18/07/2021</v>
      </c>
      <c r="M346" s="104"/>
      <c r="N346" s="95" t="str">
        <f>IFERROR(__xludf.DUMMYFUNCTION("""COMPUTED_VALUE"""),"0")</f>
        <v>0</v>
      </c>
      <c r="O346" s="95"/>
      <c r="P346" s="95"/>
      <c r="Q346" s="95"/>
      <c r="R346" s="95"/>
      <c r="S346" s="95"/>
      <c r="T346" s="95"/>
      <c r="U346" s="95"/>
      <c r="V346" s="95"/>
      <c r="W346" s="95"/>
      <c r="X346" s="95"/>
      <c r="Y346" s="95"/>
      <c r="Z346" s="95"/>
      <c r="AA346" s="95"/>
      <c r="AB346" s="95"/>
      <c r="AC346" s="95"/>
    </row>
    <row r="347" ht="15.75" customHeight="1" spans="1:29">
      <c r="A347" s="95"/>
      <c r="B347" s="95"/>
      <c r="C347" s="102" t="str">
        <f>IFERROR(__xludf.DUMMYFUNCTION("""COMPUTED_VALUE"""),"ESCOLA MUNICIPAL POETA VINICIUS DE MORAIS")</f>
        <v>ESCOLA MUNICIPAL POETA VINICIUS DE MORAIS</v>
      </c>
      <c r="D347" s="95" t="str">
        <f>IFERROR(__xludf.DUMMYFUNCTION("""COMPUTED_VALUE"""),"INFANTIL 4")</f>
        <v>INFANTIL 4</v>
      </c>
      <c r="E347" s="95" t="str">
        <f>IFERROR(__xludf.DUMMYFUNCTION("""COMPUTED_VALUE"""),"Vespertino/Tarde")</f>
        <v>Vespertino/Tarde</v>
      </c>
      <c r="F347" s="95" t="str">
        <f>IFERROR(__xludf.DUMMYFUNCTION("""COMPUTED_VALUE"""),"Comum")</f>
        <v>Comum</v>
      </c>
      <c r="G347" s="95" t="str">
        <f>IFERROR(__xludf.DUMMYFUNCTION("""COMPUTED_VALUE"""),"2")</f>
        <v>2</v>
      </c>
      <c r="H347" s="95" t="str">
        <f>IFERROR(__xludf.DUMMYFUNCTION("""COMPUTED_VALUE"""),"26042713506")</f>
        <v>26042713506</v>
      </c>
      <c r="I347" s="105" t="str">
        <f>IFERROR(__xludf.DUMMYFUNCTION("""COMPUTED_VALUE"""),"24/04/2026 19:53:17")</f>
        <v>24/04/2026 19:53:17</v>
      </c>
      <c r="J347" s="95" t="str">
        <f>IFERROR(__xludf.DUMMYFUNCTION("""COMPUTED_VALUE"""),"MARIA ALICIA LOPES DOS SANTOS FERREIRA")</f>
        <v>MARIA ALICIA LOPES DOS SANTOS FERREIRA</v>
      </c>
      <c r="K347" s="95" t="str">
        <f>IFERROR(__xludf.DUMMYFUNCTION("""COMPUTED_VALUE"""),"178.026.414-38")</f>
        <v>178.026.414-38</v>
      </c>
      <c r="L347" s="104" t="str">
        <f>IFERROR(__xludf.DUMMYFUNCTION("""COMPUTED_VALUE"""),"22/08/2021")</f>
        <v>22/08/2021</v>
      </c>
      <c r="M347" s="104"/>
      <c r="N347" s="95" t="str">
        <f>IFERROR(__xludf.DUMMYFUNCTION("""COMPUTED_VALUE"""),"0")</f>
        <v>0</v>
      </c>
      <c r="O347" s="95"/>
      <c r="P347" s="95"/>
      <c r="Q347" s="95"/>
      <c r="R347" s="95"/>
      <c r="S347" s="95"/>
      <c r="T347" s="95"/>
      <c r="U347" s="95"/>
      <c r="V347" s="95"/>
      <c r="W347" s="95"/>
      <c r="X347" s="95"/>
      <c r="Y347" s="95"/>
      <c r="Z347" s="95"/>
      <c r="AA347" s="95"/>
      <c r="AB347" s="95"/>
      <c r="AC347" s="95"/>
    </row>
    <row r="348" ht="15.75" customHeight="1" spans="1:29">
      <c r="A348" s="95"/>
      <c r="B348" s="95"/>
      <c r="C348" s="102" t="str">
        <f>IFERROR(__xludf.DUMMYFUNCTION("""COMPUTED_VALUE"""),"ESCOLA MUNICIPAL PROFESSOR ALMIR OLÍMPIO ALVES")</f>
        <v>ESCOLA MUNICIPAL PROFESSOR ALMIR OLÍMPIO ALVES</v>
      </c>
      <c r="D348" s="95" t="str">
        <f>IFERROR(__xludf.DUMMYFUNCTION("""COMPUTED_VALUE"""),"INFANTIL 4")</f>
        <v>INFANTIL 4</v>
      </c>
      <c r="E348" s="95" t="str">
        <f>IFERROR(__xludf.DUMMYFUNCTION("""COMPUTED_VALUE"""),"Vespertino/Tarde")</f>
        <v>Vespertino/Tarde</v>
      </c>
      <c r="F348" s="95" t="str">
        <f>IFERROR(__xludf.DUMMYFUNCTION("""COMPUTED_VALUE"""),"Comum")</f>
        <v>Comum</v>
      </c>
      <c r="G348" s="95" t="str">
        <f>IFERROR(__xludf.DUMMYFUNCTION("""COMPUTED_VALUE"""),"1")</f>
        <v>1</v>
      </c>
      <c r="H348" s="95" t="str">
        <f>IFERROR(__xludf.DUMMYFUNCTION("""COMPUTED_VALUE"""),"26052022753")</f>
        <v>26052022753</v>
      </c>
      <c r="I348" s="105" t="str">
        <f>IFERROR(__xludf.DUMMYFUNCTION("""COMPUTED_VALUE"""),"28/05/2026 23:46:14")</f>
        <v>28/05/2026 23:46:14</v>
      </c>
      <c r="J348" s="95" t="str">
        <f>IFERROR(__xludf.DUMMYFUNCTION("""COMPUTED_VALUE"""),"João Lucas Lima de Araujo")</f>
        <v>João Lucas Lima de Araujo</v>
      </c>
      <c r="K348" s="95" t="str">
        <f>IFERROR(__xludf.DUMMYFUNCTION("""COMPUTED_VALUE"""),"180.219.524-66")</f>
        <v>180.219.524-66</v>
      </c>
      <c r="L348" s="104" t="str">
        <f>IFERROR(__xludf.DUMMYFUNCTION("""COMPUTED_VALUE"""),"28/12/2021")</f>
        <v>28/12/2021</v>
      </c>
      <c r="M348" s="104"/>
      <c r="N348" s="95" t="str">
        <f>IFERROR(__xludf.DUMMYFUNCTION("""COMPUTED_VALUE"""),"0")</f>
        <v>0</v>
      </c>
      <c r="O348" s="95"/>
      <c r="P348" s="95"/>
      <c r="Q348" s="95"/>
      <c r="R348" s="95"/>
      <c r="S348" s="95"/>
      <c r="T348" s="95"/>
      <c r="U348" s="95"/>
      <c r="V348" s="95"/>
      <c r="W348" s="95"/>
      <c r="X348" s="95"/>
      <c r="Y348" s="95"/>
      <c r="Z348" s="95"/>
      <c r="AA348" s="95"/>
      <c r="AB348" s="95"/>
      <c r="AC348" s="95"/>
    </row>
    <row r="349" ht="15.75" customHeight="1" spans="1:29">
      <c r="A349" s="95"/>
      <c r="B349" s="95"/>
      <c r="C349" s="102" t="str">
        <f>IFERROR(__xludf.DUMMYFUNCTION("""COMPUTED_VALUE"""),"ESCOLA MUNICIPAL PROFESSOR ALMIR OLÍMPIO ALVES")</f>
        <v>ESCOLA MUNICIPAL PROFESSOR ALMIR OLÍMPIO ALVES</v>
      </c>
      <c r="D349" s="95" t="str">
        <f>IFERROR(__xludf.DUMMYFUNCTION("""COMPUTED_VALUE"""),"INFANTIL 5")</f>
        <v>INFANTIL 5</v>
      </c>
      <c r="E349" s="95" t="str">
        <f>IFERROR(__xludf.DUMMYFUNCTION("""COMPUTED_VALUE"""),"Matutino/Manhã")</f>
        <v>Matutino/Manhã</v>
      </c>
      <c r="F349" s="95" t="str">
        <f>IFERROR(__xludf.DUMMYFUNCTION("""COMPUTED_VALUE"""),"Comum")</f>
        <v>Comum</v>
      </c>
      <c r="G349" s="95" t="str">
        <f>IFERROR(__xludf.DUMMYFUNCTION("""COMPUTED_VALUE"""),"1")</f>
        <v>1</v>
      </c>
      <c r="H349" s="95" t="str">
        <f>IFERROR(__xludf.DUMMYFUNCTION("""COMPUTED_VALUE"""),"26012598772")</f>
        <v>26012598772</v>
      </c>
      <c r="I349" s="105" t="str">
        <f>IFERROR(__xludf.DUMMYFUNCTION("""COMPUTED_VALUE"""),"29/01/2026 08:31:46")</f>
        <v>29/01/2026 08:31:46</v>
      </c>
      <c r="J349" s="95" t="str">
        <f>IFERROR(__xludf.DUMMYFUNCTION("""COMPUTED_VALUE"""),"BRUNO SERAFIM DE OLIVEIRA")</f>
        <v>BRUNO SERAFIM DE OLIVEIRA</v>
      </c>
      <c r="K349" s="95" t="str">
        <f>IFERROR(__xludf.DUMMYFUNCTION("""COMPUTED_VALUE"""),"176.118.554-33")</f>
        <v>176.118.554-33</v>
      </c>
      <c r="L349" s="104" t="str">
        <f>IFERROR(__xludf.DUMMYFUNCTION("""COMPUTED_VALUE"""),"30/03/2021")</f>
        <v>30/03/2021</v>
      </c>
      <c r="M349" s="104"/>
      <c r="N349" s="95" t="str">
        <f>IFERROR(__xludf.DUMMYFUNCTION("""COMPUTED_VALUE"""),"0")</f>
        <v>0</v>
      </c>
      <c r="O349" s="95"/>
      <c r="P349" s="95"/>
      <c r="Q349" s="95"/>
      <c r="R349" s="95"/>
      <c r="S349" s="95"/>
      <c r="T349" s="95"/>
      <c r="U349" s="95"/>
      <c r="V349" s="95"/>
      <c r="W349" s="95"/>
      <c r="X349" s="95"/>
      <c r="Y349" s="95"/>
      <c r="Z349" s="95"/>
      <c r="AA349" s="95"/>
      <c r="AB349" s="95"/>
      <c r="AC349" s="95"/>
    </row>
    <row r="350" ht="15.75" customHeight="1" spans="1:29">
      <c r="A350" s="95"/>
      <c r="B350" s="95"/>
      <c r="C350" s="102" t="str">
        <f>IFERROR(__xludf.DUMMYFUNCTION("""COMPUTED_VALUE"""),"ESCOLA MUNICIPAL PROFESSOR ALMIR OLÍMPIO ALVES")</f>
        <v>ESCOLA MUNICIPAL PROFESSOR ALMIR OLÍMPIO ALVES</v>
      </c>
      <c r="D350" s="95" t="str">
        <f>IFERROR(__xludf.DUMMYFUNCTION("""COMPUTED_VALUE"""),"INFANTIL 5")</f>
        <v>INFANTIL 5</v>
      </c>
      <c r="E350" s="95" t="str">
        <f>IFERROR(__xludf.DUMMYFUNCTION("""COMPUTED_VALUE"""),"Matutino/Manhã")</f>
        <v>Matutino/Manhã</v>
      </c>
      <c r="F350" s="95" t="str">
        <f>IFERROR(__xludf.DUMMYFUNCTION("""COMPUTED_VALUE"""),"Comum")</f>
        <v>Comum</v>
      </c>
      <c r="G350" s="95" t="str">
        <f>IFERROR(__xludf.DUMMYFUNCTION("""COMPUTED_VALUE"""),"2")</f>
        <v>2</v>
      </c>
      <c r="H350" s="95" t="str">
        <f>IFERROR(__xludf.DUMMYFUNCTION("""COMPUTED_VALUE"""),"26022096897")</f>
        <v>26022096897</v>
      </c>
      <c r="I350" s="105" t="str">
        <f>IFERROR(__xludf.DUMMYFUNCTION("""COMPUTED_VALUE"""),"11/02/2026 14:33:54")</f>
        <v>11/02/2026 14:33:54</v>
      </c>
      <c r="J350" s="95" t="str">
        <f>IFERROR(__xludf.DUMMYFUNCTION("""COMPUTED_VALUE"""),"JÚLIA LORAYNNE FERREIRA FARIAS")</f>
        <v>JÚLIA LORAYNNE FERREIRA FARIAS</v>
      </c>
      <c r="K350" s="95" t="str">
        <f>IFERROR(__xludf.DUMMYFUNCTION("""COMPUTED_VALUE"""),"173.132.764-19")</f>
        <v>173.132.764-19</v>
      </c>
      <c r="L350" s="104" t="str">
        <f>IFERROR(__xludf.DUMMYFUNCTION("""COMPUTED_VALUE"""),"19/07/2020")</f>
        <v>19/07/2020</v>
      </c>
      <c r="M350" s="104"/>
      <c r="N350" s="95" t="str">
        <f>IFERROR(__xludf.DUMMYFUNCTION("""COMPUTED_VALUE"""),"0")</f>
        <v>0</v>
      </c>
      <c r="O350" s="95"/>
      <c r="P350" s="95"/>
      <c r="Q350" s="95"/>
      <c r="R350" s="95"/>
      <c r="S350" s="95"/>
      <c r="T350" s="95"/>
      <c r="U350" s="95"/>
      <c r="V350" s="95"/>
      <c r="W350" s="95"/>
      <c r="X350" s="95"/>
      <c r="Y350" s="95"/>
      <c r="Z350" s="95"/>
      <c r="AA350" s="95"/>
      <c r="AB350" s="95"/>
      <c r="AC350" s="95"/>
    </row>
    <row r="351" ht="15.75" customHeight="1" spans="1:29">
      <c r="A351" s="95"/>
      <c r="B351" s="95"/>
      <c r="C351" s="102" t="str">
        <f>IFERROR(__xludf.DUMMYFUNCTION("""COMPUTED_VALUE"""),"ESCOLA MUNICIPAL PROFESSOR ALMIR OLÍMPIO ALVES")</f>
        <v>ESCOLA MUNICIPAL PROFESSOR ALMIR OLÍMPIO ALVES</v>
      </c>
      <c r="D351" s="95" t="str">
        <f>IFERROR(__xludf.DUMMYFUNCTION("""COMPUTED_VALUE"""),"INFANTIL 5")</f>
        <v>INFANTIL 5</v>
      </c>
      <c r="E351" s="95" t="str">
        <f>IFERROR(__xludf.DUMMYFUNCTION("""COMPUTED_VALUE"""),"Matutino/Manhã")</f>
        <v>Matutino/Manhã</v>
      </c>
      <c r="F351" s="95" t="str">
        <f>IFERROR(__xludf.DUMMYFUNCTION("""COMPUTED_VALUE"""),"Comum")</f>
        <v>Comum</v>
      </c>
      <c r="G351" s="95" t="str">
        <f>IFERROR(__xludf.DUMMYFUNCTION("""COMPUTED_VALUE"""),"3")</f>
        <v>3</v>
      </c>
      <c r="H351" s="95" t="str">
        <f>IFERROR(__xludf.DUMMYFUNCTION("""COMPUTED_VALUE"""),"26032296590")</f>
        <v>26032296590</v>
      </c>
      <c r="I351" s="105" t="str">
        <f>IFERROR(__xludf.DUMMYFUNCTION("""COMPUTED_VALUE"""),"04/03/2026 11:01:35")</f>
        <v>04/03/2026 11:01:35</v>
      </c>
      <c r="J351" s="95" t="str">
        <f>IFERROR(__xludf.DUMMYFUNCTION("""COMPUTED_VALUE"""),"RHILLARY GABRIELY SANTANA DA SILVA")</f>
        <v>RHILLARY GABRIELY SANTANA DA SILVA</v>
      </c>
      <c r="K351" s="95" t="str">
        <f>IFERROR(__xludf.DUMMYFUNCTION("""COMPUTED_VALUE"""),"172.998.394-40")</f>
        <v>172.998.394-40</v>
      </c>
      <c r="L351" s="104" t="str">
        <f>IFERROR(__xludf.DUMMYFUNCTION("""COMPUTED_VALUE"""),"07/05/2020")</f>
        <v>07/05/2020</v>
      </c>
      <c r="M351" s="104"/>
      <c r="N351" s="95" t="str">
        <f>IFERROR(__xludf.DUMMYFUNCTION("""COMPUTED_VALUE"""),"0")</f>
        <v>0</v>
      </c>
      <c r="O351" s="95"/>
      <c r="P351" s="95"/>
      <c r="Q351" s="95"/>
      <c r="R351" s="95"/>
      <c r="S351" s="95"/>
      <c r="T351" s="95"/>
      <c r="U351" s="95"/>
      <c r="V351" s="95"/>
      <c r="W351" s="95"/>
      <c r="X351" s="95"/>
      <c r="Y351" s="95"/>
      <c r="Z351" s="95"/>
      <c r="AA351" s="95"/>
      <c r="AB351" s="95"/>
      <c r="AC351" s="95"/>
    </row>
    <row r="352" ht="15.75" customHeight="1" spans="1:29">
      <c r="A352" s="95"/>
      <c r="B352" s="95"/>
      <c r="C352" s="102" t="str">
        <f>IFERROR(__xludf.DUMMYFUNCTION("""COMPUTED_VALUE"""),"ESCOLA MUNICIPAL PROFESSOR ALMIR OLÍMPIO ALVES")</f>
        <v>ESCOLA MUNICIPAL PROFESSOR ALMIR OLÍMPIO ALVES</v>
      </c>
      <c r="D352" s="95" t="str">
        <f>IFERROR(__xludf.DUMMYFUNCTION("""COMPUTED_VALUE"""),"INFANTIL 5")</f>
        <v>INFANTIL 5</v>
      </c>
      <c r="E352" s="95" t="str">
        <f>IFERROR(__xludf.DUMMYFUNCTION("""COMPUTED_VALUE"""),"Matutino/Manhã")</f>
        <v>Matutino/Manhã</v>
      </c>
      <c r="F352" s="95" t="str">
        <f>IFERROR(__xludf.DUMMYFUNCTION("""COMPUTED_VALUE"""),"Comum")</f>
        <v>Comum</v>
      </c>
      <c r="G352" s="95" t="str">
        <f>IFERROR(__xludf.DUMMYFUNCTION("""COMPUTED_VALUE"""),"4")</f>
        <v>4</v>
      </c>
      <c r="H352" s="95" t="str">
        <f>IFERROR(__xludf.DUMMYFUNCTION("""COMPUTED_VALUE"""),"26032814261")</f>
        <v>26032814261</v>
      </c>
      <c r="I352" s="105" t="str">
        <f>IFERROR(__xludf.DUMMYFUNCTION("""COMPUTED_VALUE"""),"05/03/2026 12:10:03")</f>
        <v>05/03/2026 12:10:03</v>
      </c>
      <c r="J352" s="95" t="str">
        <f>IFERROR(__xludf.DUMMYFUNCTION("""COMPUTED_VALUE"""),"LAURA SOFIA COSTA DE OLIVEIRA")</f>
        <v>LAURA SOFIA COSTA DE OLIVEIRA</v>
      </c>
      <c r="K352" s="95" t="str">
        <f>IFERROR(__xludf.DUMMYFUNCTION("""COMPUTED_VALUE"""),"176.899.474-92")</f>
        <v>176.899.474-92</v>
      </c>
      <c r="L352" s="104" t="str">
        <f>IFERROR(__xludf.DUMMYFUNCTION("""COMPUTED_VALUE"""),"30/03/2021")</f>
        <v>30/03/2021</v>
      </c>
      <c r="M352" s="104"/>
      <c r="N352" s="95" t="str">
        <f>IFERROR(__xludf.DUMMYFUNCTION("""COMPUTED_VALUE"""),"0")</f>
        <v>0</v>
      </c>
      <c r="O352" s="95"/>
      <c r="P352" s="95"/>
      <c r="Q352" s="95"/>
      <c r="R352" s="95"/>
      <c r="S352" s="95"/>
      <c r="T352" s="95"/>
      <c r="U352" s="95"/>
      <c r="V352" s="95"/>
      <c r="W352" s="95"/>
      <c r="X352" s="95"/>
      <c r="Y352" s="95"/>
      <c r="Z352" s="95"/>
      <c r="AA352" s="95"/>
      <c r="AB352" s="95"/>
      <c r="AC352" s="95"/>
    </row>
    <row r="353" ht="15.75" customHeight="1" spans="1:29">
      <c r="A353" s="95"/>
      <c r="B353" s="95"/>
      <c r="C353" s="102" t="str">
        <f>IFERROR(__xludf.DUMMYFUNCTION("""COMPUTED_VALUE"""),"ESCOLA MUNICIPAL PROFESSOR ALMIR OLÍMPIO ALVES")</f>
        <v>ESCOLA MUNICIPAL PROFESSOR ALMIR OLÍMPIO ALVES</v>
      </c>
      <c r="D353" s="95" t="str">
        <f>IFERROR(__xludf.DUMMYFUNCTION("""COMPUTED_VALUE"""),"INFANTIL 5")</f>
        <v>INFANTIL 5</v>
      </c>
      <c r="E353" s="95" t="str">
        <f>IFERROR(__xludf.DUMMYFUNCTION("""COMPUTED_VALUE"""),"Vespertino/Tarde")</f>
        <v>Vespertino/Tarde</v>
      </c>
      <c r="F353" s="95" t="str">
        <f>IFERROR(__xludf.DUMMYFUNCTION("""COMPUTED_VALUE"""),"Comum")</f>
        <v>Comum</v>
      </c>
      <c r="G353" s="95" t="str">
        <f>IFERROR(__xludf.DUMMYFUNCTION("""COMPUTED_VALUE"""),"1")</f>
        <v>1</v>
      </c>
      <c r="H353" s="95" t="str">
        <f>IFERROR(__xludf.DUMMYFUNCTION("""COMPUTED_VALUE"""),"26022485580")</f>
        <v>26022485580</v>
      </c>
      <c r="I353" s="105" t="str">
        <f>IFERROR(__xludf.DUMMYFUNCTION("""COMPUTED_VALUE"""),"05/02/2026 11:04:28")</f>
        <v>05/02/2026 11:04:28</v>
      </c>
      <c r="J353" s="95" t="str">
        <f>IFERROR(__xludf.DUMMYFUNCTION("""COMPUTED_VALUE"""),"BERNARDO EMANUEL ALVES DA SILVA")</f>
        <v>BERNARDO EMANUEL ALVES DA SILVA</v>
      </c>
      <c r="K353" s="95" t="str">
        <f>IFERROR(__xludf.DUMMYFUNCTION("""COMPUTED_VALUE"""),"181.691.064-35")</f>
        <v>181.691.064-35</v>
      </c>
      <c r="L353" s="104" t="str">
        <f>IFERROR(__xludf.DUMMYFUNCTION("""COMPUTED_VALUE"""),"22/12/2020")</f>
        <v>22/12/2020</v>
      </c>
      <c r="M353" s="104"/>
      <c r="N353" s="95" t="str">
        <f>IFERROR(__xludf.DUMMYFUNCTION("""COMPUTED_VALUE"""),"0")</f>
        <v>0</v>
      </c>
      <c r="O353" s="95"/>
      <c r="P353" s="95"/>
      <c r="Q353" s="95"/>
      <c r="R353" s="95"/>
      <c r="S353" s="95"/>
      <c r="T353" s="95"/>
      <c r="U353" s="95"/>
      <c r="V353" s="95"/>
      <c r="W353" s="95"/>
      <c r="X353" s="95"/>
      <c r="Y353" s="95"/>
      <c r="Z353" s="95"/>
      <c r="AA353" s="95"/>
      <c r="AB353" s="95"/>
      <c r="AC353" s="95"/>
    </row>
    <row r="354" ht="15.75" customHeight="1" spans="1:29">
      <c r="A354" s="95"/>
      <c r="B354" s="95"/>
      <c r="C354" s="102" t="str">
        <f>IFERROR(__xludf.DUMMYFUNCTION("""COMPUTED_VALUE"""),"ESCOLA MUNICIPAL PROFESSOR ALMIR OLÍMPIO ALVES")</f>
        <v>ESCOLA MUNICIPAL PROFESSOR ALMIR OLÍMPIO ALVES</v>
      </c>
      <c r="D354" s="95" t="str">
        <f>IFERROR(__xludf.DUMMYFUNCTION("""COMPUTED_VALUE"""),"INFANTIL 5")</f>
        <v>INFANTIL 5</v>
      </c>
      <c r="E354" s="95" t="str">
        <f>IFERROR(__xludf.DUMMYFUNCTION("""COMPUTED_VALUE"""),"Vespertino/Tarde")</f>
        <v>Vespertino/Tarde</v>
      </c>
      <c r="F354" s="95" t="str">
        <f>IFERROR(__xludf.DUMMYFUNCTION("""COMPUTED_VALUE"""),"Comum")</f>
        <v>Comum</v>
      </c>
      <c r="G354" s="95" t="str">
        <f>IFERROR(__xludf.DUMMYFUNCTION("""COMPUTED_VALUE"""),"2")</f>
        <v>2</v>
      </c>
      <c r="H354" s="95" t="str">
        <f>IFERROR(__xludf.DUMMYFUNCTION("""COMPUTED_VALUE"""),"26022645038")</f>
        <v>26022645038</v>
      </c>
      <c r="I354" s="105" t="str">
        <f>IFERROR(__xludf.DUMMYFUNCTION("""COMPUTED_VALUE"""),"11/02/2026 11:15:02")</f>
        <v>11/02/2026 11:15:02</v>
      </c>
      <c r="J354" s="95" t="str">
        <f>IFERROR(__xludf.DUMMYFUNCTION("""COMPUTED_VALUE"""),"PEDRO LUCAS FERREIRA DE ANDRADE")</f>
        <v>PEDRO LUCAS FERREIRA DE ANDRADE</v>
      </c>
      <c r="K354" s="95" t="str">
        <f>IFERROR(__xludf.DUMMYFUNCTION("""COMPUTED_VALUE"""),"171.330.854-10")</f>
        <v>171.330.854-10</v>
      </c>
      <c r="L354" s="104" t="str">
        <f>IFERROR(__xludf.DUMMYFUNCTION("""COMPUTED_VALUE"""),"03/04/2020")</f>
        <v>03/04/2020</v>
      </c>
      <c r="M354" s="106"/>
      <c r="N354" s="95" t="str">
        <f>IFERROR(__xludf.DUMMYFUNCTION("""COMPUTED_VALUE"""),"0")</f>
        <v>0</v>
      </c>
      <c r="O354" s="95"/>
      <c r="P354" s="95"/>
      <c r="Q354" s="95"/>
      <c r="R354" s="95"/>
      <c r="S354" s="95"/>
      <c r="T354" s="95"/>
      <c r="U354" s="95"/>
      <c r="V354" s="95"/>
      <c r="W354" s="95"/>
      <c r="X354" s="95"/>
      <c r="Y354" s="95"/>
      <c r="Z354" s="95"/>
      <c r="AA354" s="95"/>
      <c r="AB354" s="95"/>
      <c r="AC354" s="95"/>
    </row>
    <row r="355" ht="15.75" customHeight="1" spans="1:29">
      <c r="A355" s="95"/>
      <c r="B355" s="95"/>
      <c r="C355" s="102" t="str">
        <f>IFERROR(__xludf.DUMMYFUNCTION("""COMPUTED_VALUE"""),"ESCOLA MUNICIPAL PROFESSOR ALMIR OLÍMPIO ALVES")</f>
        <v>ESCOLA MUNICIPAL PROFESSOR ALMIR OLÍMPIO ALVES</v>
      </c>
      <c r="D355" s="95" t="str">
        <f>IFERROR(__xludf.DUMMYFUNCTION("""COMPUTED_VALUE"""),"INFANTIL 5")</f>
        <v>INFANTIL 5</v>
      </c>
      <c r="E355" s="95" t="str">
        <f>IFERROR(__xludf.DUMMYFUNCTION("""COMPUTED_VALUE"""),"Vespertino/Tarde")</f>
        <v>Vespertino/Tarde</v>
      </c>
      <c r="F355" s="95" t="str">
        <f>IFERROR(__xludf.DUMMYFUNCTION("""COMPUTED_VALUE"""),"Comum")</f>
        <v>Comum</v>
      </c>
      <c r="G355" s="95" t="str">
        <f>IFERROR(__xludf.DUMMYFUNCTION("""COMPUTED_VALUE"""),"3")</f>
        <v>3</v>
      </c>
      <c r="H355" s="95" t="str">
        <f>IFERROR(__xludf.DUMMYFUNCTION("""COMPUTED_VALUE"""),"26022800616")</f>
        <v>26022800616</v>
      </c>
      <c r="I355" s="105" t="str">
        <f>IFERROR(__xludf.DUMMYFUNCTION("""COMPUTED_VALUE"""),"25/02/2026 10:27:28")</f>
        <v>25/02/2026 10:27:28</v>
      </c>
      <c r="J355" s="95" t="str">
        <f>IFERROR(__xludf.DUMMYFUNCTION("""COMPUTED_VALUE"""),"MOANNA WALENTINA FERREIRA DE SOUZA")</f>
        <v>MOANNA WALENTINA FERREIRA DE SOUZA</v>
      </c>
      <c r="K355" s="95" t="str">
        <f>IFERROR(__xludf.DUMMYFUNCTION("""COMPUTED_VALUE"""),"173.684.614-04")</f>
        <v>173.684.614-04</v>
      </c>
      <c r="L355" s="106" t="str">
        <f>IFERROR(__xludf.DUMMYFUNCTION("""COMPUTED_VALUE"""),"12/09/2020")</f>
        <v>12/09/2020</v>
      </c>
      <c r="M355" s="104"/>
      <c r="N355" s="95" t="str">
        <f>IFERROR(__xludf.DUMMYFUNCTION("""COMPUTED_VALUE"""),"0")</f>
        <v>0</v>
      </c>
      <c r="O355" s="95"/>
      <c r="P355" s="95"/>
      <c r="Q355" s="95"/>
      <c r="R355" s="95"/>
      <c r="S355" s="95"/>
      <c r="T355" s="95"/>
      <c r="U355" s="95"/>
      <c r="V355" s="95"/>
      <c r="W355" s="95"/>
      <c r="X355" s="95"/>
      <c r="Y355" s="95"/>
      <c r="Z355" s="95"/>
      <c r="AA355" s="95"/>
      <c r="AB355" s="95"/>
      <c r="AC355" s="95"/>
    </row>
    <row r="356" ht="15.75" customHeight="1" spans="1:29">
      <c r="A356" s="95"/>
      <c r="B356" s="95"/>
      <c r="C356" s="102" t="str">
        <f>IFERROR(__xludf.DUMMYFUNCTION("""COMPUTED_VALUE"""),"ESCOLA MUNICIPAL PROFESSOR AUGUSTO PEREIRA JUNIOR")</f>
        <v>ESCOLA MUNICIPAL PROFESSOR AUGUSTO PEREIRA JUNIOR</v>
      </c>
      <c r="D356" s="95" t="str">
        <f>IFERROR(__xludf.DUMMYFUNCTION("""COMPUTED_VALUE"""),"INFANTIL 4")</f>
        <v>INFANTIL 4</v>
      </c>
      <c r="E356" s="95" t="str">
        <f>IFERROR(__xludf.DUMMYFUNCTION("""COMPUTED_VALUE"""),"Vespertino/Tarde")</f>
        <v>Vespertino/Tarde</v>
      </c>
      <c r="F356" s="95" t="str">
        <f>IFERROR(__xludf.DUMMYFUNCTION("""COMPUTED_VALUE"""),"Comum")</f>
        <v>Comum</v>
      </c>
      <c r="G356" s="95" t="str">
        <f>IFERROR(__xludf.DUMMYFUNCTION("""COMPUTED_VALUE"""),"1")</f>
        <v>1</v>
      </c>
      <c r="H356" s="95" t="str">
        <f>IFERROR(__xludf.DUMMYFUNCTION("""COMPUTED_VALUE"""),"26042203545")</f>
        <v>26042203545</v>
      </c>
      <c r="I356" s="103" t="str">
        <f>IFERROR(__xludf.DUMMYFUNCTION("""COMPUTED_VALUE"""),"08/04/2026 18:51:11")</f>
        <v>08/04/2026 18:51:11</v>
      </c>
      <c r="J356" s="95" t="str">
        <f>IFERROR(__xludf.DUMMYFUNCTION("""COMPUTED_VALUE"""),"EMILLY MARIA FRANCELINO DA SILVA")</f>
        <v>EMILLY MARIA FRANCELINO DA SILVA</v>
      </c>
      <c r="K356" s="95" t="str">
        <f>IFERROR(__xludf.DUMMYFUNCTION("""COMPUTED_VALUE"""),"180.394.224-00")</f>
        <v>180.394.224-00</v>
      </c>
      <c r="L356" s="104" t="str">
        <f>IFERROR(__xludf.DUMMYFUNCTION("""COMPUTED_VALUE"""),"04/02/2022")</f>
        <v>04/02/2022</v>
      </c>
      <c r="M356" s="104"/>
      <c r="N356" s="95" t="str">
        <f>IFERROR(__xludf.DUMMYFUNCTION("""COMPUTED_VALUE"""),"0")</f>
        <v>0</v>
      </c>
      <c r="O356" s="95"/>
      <c r="P356" s="95"/>
      <c r="Q356" s="95"/>
      <c r="R356" s="95"/>
      <c r="S356" s="95"/>
      <c r="T356" s="95"/>
      <c r="U356" s="95"/>
      <c r="V356" s="95"/>
      <c r="W356" s="95"/>
      <c r="X356" s="95"/>
      <c r="Y356" s="95"/>
      <c r="Z356" s="95"/>
      <c r="AA356" s="95"/>
      <c r="AB356" s="95"/>
      <c r="AC356" s="95"/>
    </row>
    <row r="357" ht="15.75" customHeight="1" spans="1:29">
      <c r="A357" s="95"/>
      <c r="B357" s="95"/>
      <c r="C357" s="102" t="str">
        <f>IFERROR(__xludf.DUMMYFUNCTION("""COMPUTED_VALUE"""),"ESCOLA MUNICIPAL PROFESSOR ORLANDO BRENO")</f>
        <v>ESCOLA MUNICIPAL PROFESSOR ORLANDO BRENO</v>
      </c>
      <c r="D357" s="95" t="str">
        <f>IFERROR(__xludf.DUMMYFUNCTION("""COMPUTED_VALUE"""),"INFANTIL 4")</f>
        <v>INFANTIL 4</v>
      </c>
      <c r="E357" s="95" t="str">
        <f>IFERROR(__xludf.DUMMYFUNCTION("""COMPUTED_VALUE"""),"Matutino/Manhã")</f>
        <v>Matutino/Manhã</v>
      </c>
      <c r="F357" s="95" t="str">
        <f>IFERROR(__xludf.DUMMYFUNCTION("""COMPUTED_VALUE"""),"Comum")</f>
        <v>Comum</v>
      </c>
      <c r="G357" s="95" t="str">
        <f>IFERROR(__xludf.DUMMYFUNCTION("""COMPUTED_VALUE"""),"1")</f>
        <v>1</v>
      </c>
      <c r="H357" s="95" t="str">
        <f>IFERROR(__xludf.DUMMYFUNCTION("""COMPUTED_VALUE"""),"26052216466")</f>
        <v>26052216466</v>
      </c>
      <c r="I357" s="103" t="str">
        <f>IFERROR(__xludf.DUMMYFUNCTION("""COMPUTED_VALUE"""),"12/05/2026 11:35:51")</f>
        <v>12/05/2026 11:35:51</v>
      </c>
      <c r="J357" s="95" t="str">
        <f>IFERROR(__xludf.DUMMYFUNCTION("""COMPUTED_VALUE"""),"JENIFER LORENA FERREIRA DA SILVA")</f>
        <v>JENIFER LORENA FERREIRA DA SILVA</v>
      </c>
      <c r="K357" s="95" t="str">
        <f>IFERROR(__xludf.DUMMYFUNCTION("""COMPUTED_VALUE"""),"179.430.084-80")</f>
        <v>179.430.084-80</v>
      </c>
      <c r="L357" s="104" t="str">
        <f>IFERROR(__xludf.DUMMYFUNCTION("""COMPUTED_VALUE"""),"05/12/2021")</f>
        <v>05/12/2021</v>
      </c>
      <c r="M357" s="104"/>
      <c r="N357" s="95" t="str">
        <f>IFERROR(__xludf.DUMMYFUNCTION("""COMPUTED_VALUE"""),"0")</f>
        <v>0</v>
      </c>
      <c r="O357" s="95"/>
      <c r="P357" s="95"/>
      <c r="Q357" s="95"/>
      <c r="R357" s="95"/>
      <c r="S357" s="95"/>
      <c r="T357" s="95"/>
      <c r="U357" s="95"/>
      <c r="V357" s="95"/>
      <c r="W357" s="95"/>
      <c r="X357" s="95"/>
      <c r="Y357" s="95"/>
      <c r="Z357" s="95"/>
      <c r="AA357" s="95"/>
      <c r="AB357" s="95"/>
      <c r="AC357" s="95"/>
    </row>
    <row r="358" ht="15.75" customHeight="1" spans="1:29">
      <c r="A358" s="95"/>
      <c r="B358" s="95"/>
      <c r="C358" s="102" t="str">
        <f>IFERROR(__xludf.DUMMYFUNCTION("""COMPUTED_VALUE"""),"ESCOLA MUNICIPAL PROFESSOR ORLANDO BRENO")</f>
        <v>ESCOLA MUNICIPAL PROFESSOR ORLANDO BRENO</v>
      </c>
      <c r="D358" s="95" t="str">
        <f>IFERROR(__xludf.DUMMYFUNCTION("""COMPUTED_VALUE"""),"INFANTIL 4")</f>
        <v>INFANTIL 4</v>
      </c>
      <c r="E358" s="95" t="str">
        <f>IFERROR(__xludf.DUMMYFUNCTION("""COMPUTED_VALUE"""),"Vespertino/Tarde")</f>
        <v>Vespertino/Tarde</v>
      </c>
      <c r="F358" s="95" t="str">
        <f>IFERROR(__xludf.DUMMYFUNCTION("""COMPUTED_VALUE"""),"Comum")</f>
        <v>Comum</v>
      </c>
      <c r="G358" s="95" t="str">
        <f>IFERROR(__xludf.DUMMYFUNCTION("""COMPUTED_VALUE"""),"1")</f>
        <v>1</v>
      </c>
      <c r="H358" s="95" t="str">
        <f>IFERROR(__xludf.DUMMYFUNCTION("""COMPUTED_VALUE"""),"26032773572")</f>
        <v>26032773572</v>
      </c>
      <c r="I358" s="103" t="str">
        <f>IFERROR(__xludf.DUMMYFUNCTION("""COMPUTED_VALUE"""),"03/03/2026 09:05:04")</f>
        <v>03/03/2026 09:05:04</v>
      </c>
      <c r="J358" s="95" t="str">
        <f>IFERROR(__xludf.DUMMYFUNCTION("""COMPUTED_VALUE"""),"MARIA ELISA BARBOSA DA SILVA")</f>
        <v>MARIA ELISA BARBOSA DA SILVA</v>
      </c>
      <c r="K358" s="95" t="str">
        <f>IFERROR(__xludf.DUMMYFUNCTION("""COMPUTED_VALUE"""),"176.388.534-82")</f>
        <v>176.388.534-82</v>
      </c>
      <c r="L358" s="104" t="str">
        <f>IFERROR(__xludf.DUMMYFUNCTION("""COMPUTED_VALUE"""),"24/04/2021")</f>
        <v>24/04/2021</v>
      </c>
      <c r="M358" s="104"/>
      <c r="N358" s="95" t="str">
        <f>IFERROR(__xludf.DUMMYFUNCTION("""COMPUTED_VALUE"""),"0")</f>
        <v>0</v>
      </c>
      <c r="O358" s="95"/>
      <c r="P358" s="95"/>
      <c r="Q358" s="95"/>
      <c r="R358" s="95"/>
      <c r="S358" s="95"/>
      <c r="T358" s="95"/>
      <c r="U358" s="95"/>
      <c r="V358" s="95"/>
      <c r="W358" s="95"/>
      <c r="X358" s="95"/>
      <c r="Y358" s="95"/>
      <c r="Z358" s="95"/>
      <c r="AA358" s="95"/>
      <c r="AB358" s="95"/>
      <c r="AC358" s="95"/>
    </row>
    <row r="359" ht="15.75" customHeight="1" spans="1:29">
      <c r="A359" s="95"/>
      <c r="B359" s="95"/>
      <c r="C359" s="102" t="str">
        <f>IFERROR(__xludf.DUMMYFUNCTION("""COMPUTED_VALUE"""),"ESCOLA MUNICIPAL PROFESSOR ORLANDO BRENO")</f>
        <v>ESCOLA MUNICIPAL PROFESSOR ORLANDO BRENO</v>
      </c>
      <c r="D359" s="95" t="str">
        <f>IFERROR(__xludf.DUMMYFUNCTION("""COMPUTED_VALUE"""),"INFANTIL 4")</f>
        <v>INFANTIL 4</v>
      </c>
      <c r="E359" s="95" t="str">
        <f>IFERROR(__xludf.DUMMYFUNCTION("""COMPUTED_VALUE"""),"Vespertino/Tarde")</f>
        <v>Vespertino/Tarde</v>
      </c>
      <c r="F359" s="95" t="str">
        <f>IFERROR(__xludf.DUMMYFUNCTION("""COMPUTED_VALUE"""),"Comum")</f>
        <v>Comum</v>
      </c>
      <c r="G359" s="95" t="str">
        <f>IFERROR(__xludf.DUMMYFUNCTION("""COMPUTED_VALUE"""),"2")</f>
        <v>2</v>
      </c>
      <c r="H359" s="95" t="str">
        <f>IFERROR(__xludf.DUMMYFUNCTION("""COMPUTED_VALUE"""),"26032515184")</f>
        <v>26032515184</v>
      </c>
      <c r="I359" s="103" t="str">
        <f>IFERROR(__xludf.DUMMYFUNCTION("""COMPUTED_VALUE"""),"18/03/2026 08:02:29")</f>
        <v>18/03/2026 08:02:29</v>
      </c>
      <c r="J359" s="95" t="str">
        <f>IFERROR(__xludf.DUMMYFUNCTION("""COMPUTED_VALUE"""),"ISABELLY VICTÓRIA MELO DE LIMA")</f>
        <v>ISABELLY VICTÓRIA MELO DE LIMA</v>
      </c>
      <c r="K359" s="95" t="str">
        <f>IFERROR(__xludf.DUMMYFUNCTION("""COMPUTED_VALUE"""),"180.272.334-02")</f>
        <v>180.272.334-02</v>
      </c>
      <c r="L359" s="104" t="str">
        <f>IFERROR(__xludf.DUMMYFUNCTION("""COMPUTED_VALUE"""),"16/01/2022")</f>
        <v>16/01/2022</v>
      </c>
      <c r="M359" s="104"/>
      <c r="N359" s="95" t="str">
        <f>IFERROR(__xludf.DUMMYFUNCTION("""COMPUTED_VALUE"""),"0")</f>
        <v>0</v>
      </c>
      <c r="O359" s="95"/>
      <c r="P359" s="95"/>
      <c r="Q359" s="95"/>
      <c r="R359" s="95"/>
      <c r="S359" s="95"/>
      <c r="T359" s="95"/>
      <c r="U359" s="95"/>
      <c r="V359" s="95"/>
      <c r="W359" s="95"/>
      <c r="X359" s="95"/>
      <c r="Y359" s="95"/>
      <c r="Z359" s="95"/>
      <c r="AA359" s="95"/>
      <c r="AB359" s="95"/>
      <c r="AC359" s="95"/>
    </row>
    <row r="360" ht="15.75" customHeight="1" spans="1:29">
      <c r="A360" s="95"/>
      <c r="B360" s="95"/>
      <c r="C360" s="102" t="str">
        <f>IFERROR(__xludf.DUMMYFUNCTION("""COMPUTED_VALUE"""),"ESCOLA MUNICIPAL PROFESSOR ORLANDO BRENO")</f>
        <v>ESCOLA MUNICIPAL PROFESSOR ORLANDO BRENO</v>
      </c>
      <c r="D360" s="95" t="str">
        <f>IFERROR(__xludf.DUMMYFUNCTION("""COMPUTED_VALUE"""),"INFANTIL 4")</f>
        <v>INFANTIL 4</v>
      </c>
      <c r="E360" s="95" t="str">
        <f>IFERROR(__xludf.DUMMYFUNCTION("""COMPUTED_VALUE"""),"Vespertino/Tarde")</f>
        <v>Vespertino/Tarde</v>
      </c>
      <c r="F360" s="95" t="str">
        <f>IFERROR(__xludf.DUMMYFUNCTION("""COMPUTED_VALUE"""),"Comum")</f>
        <v>Comum</v>
      </c>
      <c r="G360" s="95" t="str">
        <f>IFERROR(__xludf.DUMMYFUNCTION("""COMPUTED_VALUE"""),"3")</f>
        <v>3</v>
      </c>
      <c r="H360" s="95" t="str">
        <f>IFERROR(__xludf.DUMMYFUNCTION("""COMPUTED_VALUE"""),"26032510757")</f>
        <v>26032510757</v>
      </c>
      <c r="I360" s="103" t="str">
        <f>IFERROR(__xludf.DUMMYFUNCTION("""COMPUTED_VALUE"""),"30/03/2026 11:03:52")</f>
        <v>30/03/2026 11:03:52</v>
      </c>
      <c r="J360" s="95" t="str">
        <f>IFERROR(__xludf.DUMMYFUNCTION("""COMPUTED_VALUE"""),"SAULLO GABRIEL NASCIMENTO DA SILVA")</f>
        <v>SAULLO GABRIEL NASCIMENTO DA SILVA</v>
      </c>
      <c r="K360" s="95" t="str">
        <f>IFERROR(__xludf.DUMMYFUNCTION("""COMPUTED_VALUE"""),"180.770.434-37")</f>
        <v>180.770.434-37</v>
      </c>
      <c r="L360" s="104" t="str">
        <f>IFERROR(__xludf.DUMMYFUNCTION("""COMPUTED_VALUE"""),"08/03/2022")</f>
        <v>08/03/2022</v>
      </c>
      <c r="M360" s="104"/>
      <c r="N360" s="95" t="str">
        <f>IFERROR(__xludf.DUMMYFUNCTION("""COMPUTED_VALUE"""),"0")</f>
        <v>0</v>
      </c>
      <c r="O360" s="95"/>
      <c r="P360" s="95"/>
      <c r="Q360" s="95"/>
      <c r="R360" s="95"/>
      <c r="S360" s="95"/>
      <c r="T360" s="95"/>
      <c r="U360" s="95"/>
      <c r="V360" s="95"/>
      <c r="W360" s="95"/>
      <c r="X360" s="95"/>
      <c r="Y360" s="95"/>
      <c r="Z360" s="95"/>
      <c r="AA360" s="95"/>
      <c r="AB360" s="95"/>
      <c r="AC360" s="95"/>
    </row>
    <row r="361" ht="15.75" customHeight="1" spans="1:29">
      <c r="A361" s="95"/>
      <c r="B361" s="95"/>
      <c r="C361" s="102" t="str">
        <f>IFERROR(__xludf.DUMMYFUNCTION("""COMPUTED_VALUE"""),"ESCOLA MUNICIPAL PROFESSOR ORLANDO BRENO")</f>
        <v>ESCOLA MUNICIPAL PROFESSOR ORLANDO BRENO</v>
      </c>
      <c r="D361" s="95" t="str">
        <f>IFERROR(__xludf.DUMMYFUNCTION("""COMPUTED_VALUE"""),"INFANTIL 4")</f>
        <v>INFANTIL 4</v>
      </c>
      <c r="E361" s="95" t="str">
        <f>IFERROR(__xludf.DUMMYFUNCTION("""COMPUTED_VALUE"""),"Vespertino/Tarde")</f>
        <v>Vespertino/Tarde</v>
      </c>
      <c r="F361" s="95" t="str">
        <f>IFERROR(__xludf.DUMMYFUNCTION("""COMPUTED_VALUE"""),"Comum")</f>
        <v>Comum</v>
      </c>
      <c r="G361" s="95" t="str">
        <f>IFERROR(__xludf.DUMMYFUNCTION("""COMPUTED_VALUE"""),"4")</f>
        <v>4</v>
      </c>
      <c r="H361" s="95" t="str">
        <f>IFERROR(__xludf.DUMMYFUNCTION("""COMPUTED_VALUE"""),"26052246684")</f>
        <v>26052246684</v>
      </c>
      <c r="I361" s="103" t="str">
        <f>IFERROR(__xludf.DUMMYFUNCTION("""COMPUTED_VALUE"""),"15/05/2026 09:06:25")</f>
        <v>15/05/2026 09:06:25</v>
      </c>
      <c r="J361" s="95" t="str">
        <f>IFERROR(__xludf.DUMMYFUNCTION("""COMPUTED_VALUE"""),"ANA LUIZA DA SILVA")</f>
        <v>ANA LUIZA DA SILVA</v>
      </c>
      <c r="K361" s="95" t="str">
        <f>IFERROR(__xludf.DUMMYFUNCTION("""COMPUTED_VALUE"""),"180.695.134-70")</f>
        <v>180.695.134-70</v>
      </c>
      <c r="L361" s="106" t="str">
        <f>IFERROR(__xludf.DUMMYFUNCTION("""COMPUTED_VALUE"""),"06/02/2022")</f>
        <v>06/02/2022</v>
      </c>
      <c r="M361" s="104"/>
      <c r="N361" s="95" t="str">
        <f>IFERROR(__xludf.DUMMYFUNCTION("""COMPUTED_VALUE"""),"0")</f>
        <v>0</v>
      </c>
      <c r="O361" s="95"/>
      <c r="P361" s="95"/>
      <c r="Q361" s="95"/>
      <c r="R361" s="95"/>
      <c r="S361" s="95"/>
      <c r="T361" s="95"/>
      <c r="U361" s="95"/>
      <c r="V361" s="95"/>
      <c r="W361" s="95"/>
      <c r="X361" s="95"/>
      <c r="Y361" s="95"/>
      <c r="Z361" s="95"/>
      <c r="AA361" s="95"/>
      <c r="AB361" s="95"/>
      <c r="AC361" s="95"/>
    </row>
    <row r="362" ht="15.75" customHeight="1" spans="1:29">
      <c r="A362" s="95"/>
      <c r="B362" s="95"/>
      <c r="C362" s="102" t="str">
        <f>IFERROR(__xludf.DUMMYFUNCTION("""COMPUTED_VALUE"""),"ESCOLA MUNICIPAL PROFESSOR ORLANDO BRENO")</f>
        <v>ESCOLA MUNICIPAL PROFESSOR ORLANDO BRENO</v>
      </c>
      <c r="D362" s="95" t="str">
        <f>IFERROR(__xludf.DUMMYFUNCTION("""COMPUTED_VALUE"""),"INFANTIL 4")</f>
        <v>INFANTIL 4</v>
      </c>
      <c r="E362" s="95" t="str">
        <f>IFERROR(__xludf.DUMMYFUNCTION("""COMPUTED_VALUE"""),"Vespertino/Tarde")</f>
        <v>Vespertino/Tarde</v>
      </c>
      <c r="F362" s="95" t="str">
        <f>IFERROR(__xludf.DUMMYFUNCTION("""COMPUTED_VALUE"""),"Comum")</f>
        <v>Comum</v>
      </c>
      <c r="G362" s="95" t="str">
        <f>IFERROR(__xludf.DUMMYFUNCTION("""COMPUTED_VALUE"""),"5")</f>
        <v>5</v>
      </c>
      <c r="H362" s="95" t="str">
        <f>IFERROR(__xludf.DUMMYFUNCTION("""COMPUTED_VALUE"""),"26052400674")</f>
        <v>26052400674</v>
      </c>
      <c r="I362" s="103" t="str">
        <f>IFERROR(__xludf.DUMMYFUNCTION("""COMPUTED_VALUE"""),"15/05/2026 09:11:47")</f>
        <v>15/05/2026 09:11:47</v>
      </c>
      <c r="J362" s="95" t="str">
        <f>IFERROR(__xludf.DUMMYFUNCTION("""COMPUTED_VALUE"""),"ANA LAURA DA SILVA")</f>
        <v>ANA LAURA DA SILVA</v>
      </c>
      <c r="K362" s="95" t="str">
        <f>IFERROR(__xludf.DUMMYFUNCTION("""COMPUTED_VALUE"""),"180.695.084-77")</f>
        <v>180.695.084-77</v>
      </c>
      <c r="L362" s="104" t="str">
        <f>IFERROR(__xludf.DUMMYFUNCTION("""COMPUTED_VALUE"""),"06/02/2022")</f>
        <v>06/02/2022</v>
      </c>
      <c r="M362" s="104"/>
      <c r="N362" s="95" t="str">
        <f>IFERROR(__xludf.DUMMYFUNCTION("""COMPUTED_VALUE"""),"0")</f>
        <v>0</v>
      </c>
      <c r="O362" s="95"/>
      <c r="P362" s="95"/>
      <c r="Q362" s="95"/>
      <c r="R362" s="95"/>
      <c r="S362" s="95"/>
      <c r="T362" s="95"/>
      <c r="U362" s="95"/>
      <c r="V362" s="95"/>
      <c r="W362" s="95"/>
      <c r="X362" s="95"/>
      <c r="Y362" s="95"/>
      <c r="Z362" s="95"/>
      <c r="AA362" s="95"/>
      <c r="AB362" s="95"/>
      <c r="AC362" s="95"/>
    </row>
    <row r="363" ht="15.75" customHeight="1" spans="1:29">
      <c r="A363" s="95"/>
      <c r="B363" s="95"/>
      <c r="C363" s="102" t="str">
        <f>IFERROR(__xludf.DUMMYFUNCTION("""COMPUTED_VALUE"""),"ESCOLA MUNICIPAL PROFESSOR ORLANDO BRENO")</f>
        <v>ESCOLA MUNICIPAL PROFESSOR ORLANDO BRENO</v>
      </c>
      <c r="D363" s="95" t="str">
        <f>IFERROR(__xludf.DUMMYFUNCTION("""COMPUTED_VALUE"""),"INFANTIL 4")</f>
        <v>INFANTIL 4</v>
      </c>
      <c r="E363" s="95" t="str">
        <f>IFERROR(__xludf.DUMMYFUNCTION("""COMPUTED_VALUE"""),"Vespertino/Tarde")</f>
        <v>Vespertino/Tarde</v>
      </c>
      <c r="F363" s="95" t="str">
        <f>IFERROR(__xludf.DUMMYFUNCTION("""COMPUTED_VALUE"""),"Comum")</f>
        <v>Comum</v>
      </c>
      <c r="G363" s="95" t="str">
        <f>IFERROR(__xludf.DUMMYFUNCTION("""COMPUTED_VALUE"""),"6")</f>
        <v>6</v>
      </c>
      <c r="H363" s="95" t="str">
        <f>IFERROR(__xludf.DUMMYFUNCTION("""COMPUTED_VALUE"""),"26052333551")</f>
        <v>26052333551</v>
      </c>
      <c r="I363" s="105" t="str">
        <f>IFERROR(__xludf.DUMMYFUNCTION("""COMPUTED_VALUE"""),"25/05/2026 11:11:13")</f>
        <v>25/05/2026 11:11:13</v>
      </c>
      <c r="J363" s="95" t="str">
        <f>IFERROR(__xludf.DUMMYFUNCTION("""COMPUTED_VALUE"""),"Perola Gabrielly Martins Da silva")</f>
        <v>Perola Gabrielly Martins Da silva</v>
      </c>
      <c r="K363" s="95" t="str">
        <f>IFERROR(__xludf.DUMMYFUNCTION("""COMPUTED_VALUE"""),"181.059.304-20")</f>
        <v>181.059.304-20</v>
      </c>
      <c r="L363" s="104" t="str">
        <f>IFERROR(__xludf.DUMMYFUNCTION("""COMPUTED_VALUE"""),"15/10/2021")</f>
        <v>15/10/2021</v>
      </c>
      <c r="M363" s="104"/>
      <c r="N363" s="95" t="str">
        <f>IFERROR(__xludf.DUMMYFUNCTION("""COMPUTED_VALUE"""),"0")</f>
        <v>0</v>
      </c>
      <c r="O363" s="95"/>
      <c r="P363" s="95"/>
      <c r="Q363" s="95"/>
      <c r="R363" s="95"/>
      <c r="S363" s="95"/>
      <c r="T363" s="95"/>
      <c r="U363" s="95"/>
      <c r="V363" s="95"/>
      <c r="W363" s="95"/>
      <c r="X363" s="95"/>
      <c r="Y363" s="95"/>
      <c r="Z363" s="95"/>
      <c r="AA363" s="95"/>
      <c r="AB363" s="95"/>
      <c r="AC363" s="95"/>
    </row>
    <row r="364" ht="15.75" customHeight="1" spans="1:29">
      <c r="A364" s="95"/>
      <c r="B364" s="95"/>
      <c r="C364" s="102" t="str">
        <f>IFERROR(__xludf.DUMMYFUNCTION("""COMPUTED_VALUE"""),"ESCOLA MUNICIPAL PROFESSOR ORLANDO BRENO")</f>
        <v>ESCOLA MUNICIPAL PROFESSOR ORLANDO BRENO</v>
      </c>
      <c r="D364" s="95" t="str">
        <f>IFERROR(__xludf.DUMMYFUNCTION("""COMPUTED_VALUE"""),"INFANTIL 4")</f>
        <v>INFANTIL 4</v>
      </c>
      <c r="E364" s="95" t="str">
        <f>IFERROR(__xludf.DUMMYFUNCTION("""COMPUTED_VALUE"""),"Vespertino/Tarde")</f>
        <v>Vespertino/Tarde</v>
      </c>
      <c r="F364" s="95" t="str">
        <f>IFERROR(__xludf.DUMMYFUNCTION("""COMPUTED_VALUE"""),"Comum")</f>
        <v>Comum</v>
      </c>
      <c r="G364" s="95" t="str">
        <f>IFERROR(__xludf.DUMMYFUNCTION("""COMPUTED_VALUE"""),"7")</f>
        <v>7</v>
      </c>
      <c r="H364" s="95" t="str">
        <f>IFERROR(__xludf.DUMMYFUNCTION("""COMPUTED_VALUE"""),"26052232776")</f>
        <v>26052232776</v>
      </c>
      <c r="I364" s="105" t="str">
        <f>IFERROR(__xludf.DUMMYFUNCTION("""COMPUTED_VALUE"""),"29/05/2026 10:13:47")</f>
        <v>29/05/2026 10:13:47</v>
      </c>
      <c r="J364" s="95" t="str">
        <f>IFERROR(__xludf.DUMMYFUNCTION("""COMPUTED_VALUE"""),"MARIA JÚLIA MORAES DOS SANTOS")</f>
        <v>MARIA JÚLIA MORAES DOS SANTOS</v>
      </c>
      <c r="K364" s="95" t="str">
        <f>IFERROR(__xludf.DUMMYFUNCTION("""COMPUTED_VALUE"""),"180.567.114-65")</f>
        <v>180.567.114-65</v>
      </c>
      <c r="L364" s="104" t="str">
        <f>IFERROR(__xludf.DUMMYFUNCTION("""COMPUTED_VALUE"""),"08/12/2021")</f>
        <v>08/12/2021</v>
      </c>
      <c r="M364" s="104"/>
      <c r="N364" s="95" t="str">
        <f>IFERROR(__xludf.DUMMYFUNCTION("""COMPUTED_VALUE"""),"0")</f>
        <v>0</v>
      </c>
      <c r="O364" s="95"/>
      <c r="P364" s="95"/>
      <c r="Q364" s="95"/>
      <c r="R364" s="95"/>
      <c r="S364" s="95"/>
      <c r="T364" s="95"/>
      <c r="U364" s="95"/>
      <c r="V364" s="95"/>
      <c r="W364" s="95"/>
      <c r="X364" s="95"/>
      <c r="Y364" s="95"/>
      <c r="Z364" s="95"/>
      <c r="AA364" s="95"/>
      <c r="AB364" s="95"/>
      <c r="AC364" s="95"/>
    </row>
    <row r="365" ht="15.75" customHeight="1" spans="1:29">
      <c r="A365" s="95"/>
      <c r="B365" s="95"/>
      <c r="C365" s="102" t="str">
        <f>IFERROR(__xludf.DUMMYFUNCTION("""COMPUTED_VALUE"""),"ESCOLA MUNICIPAL PROFESSOR SILVIO ROMERO VIEIRA")</f>
        <v>ESCOLA MUNICIPAL PROFESSOR SILVIO ROMERO VIEIRA</v>
      </c>
      <c r="D365" s="95" t="str">
        <f>IFERROR(__xludf.DUMMYFUNCTION("""COMPUTED_VALUE"""),"INFANTIL 5")</f>
        <v>INFANTIL 5</v>
      </c>
      <c r="E365" s="95" t="str">
        <f>IFERROR(__xludf.DUMMYFUNCTION("""COMPUTED_VALUE"""),"Matutino/Manhã")</f>
        <v>Matutino/Manhã</v>
      </c>
      <c r="F365" s="95" t="str">
        <f>IFERROR(__xludf.DUMMYFUNCTION("""COMPUTED_VALUE"""),"Comum")</f>
        <v>Comum</v>
      </c>
      <c r="G365" s="95" t="str">
        <f>IFERROR(__xludf.DUMMYFUNCTION("""COMPUTED_VALUE"""),"1")</f>
        <v>1</v>
      </c>
      <c r="H365" s="95" t="str">
        <f>IFERROR(__xludf.DUMMYFUNCTION("""COMPUTED_VALUE"""),"26012655447")</f>
        <v>26012655447</v>
      </c>
      <c r="I365" s="105" t="str">
        <f>IFERROR(__xludf.DUMMYFUNCTION("""COMPUTED_VALUE"""),"28/01/2026 11:27:08")</f>
        <v>28/01/2026 11:27:08</v>
      </c>
      <c r="J365" s="95" t="str">
        <f>IFERROR(__xludf.DUMMYFUNCTION("""COMPUTED_VALUE"""),"MIRIAM ALICE NOGUEIRA DA SILVA")</f>
        <v>MIRIAM ALICE NOGUEIRA DA SILVA</v>
      </c>
      <c r="K365" s="95" t="str">
        <f>IFERROR(__xludf.DUMMYFUNCTION("""COMPUTED_VALUE"""),"172.735.274-24")</f>
        <v>172.735.274-24</v>
      </c>
      <c r="L365" s="104" t="str">
        <f>IFERROR(__xludf.DUMMYFUNCTION("""COMPUTED_VALUE"""),"20/07/2020")</f>
        <v>20/07/2020</v>
      </c>
      <c r="M365" s="106"/>
      <c r="N365" s="95" t="str">
        <f>IFERROR(__xludf.DUMMYFUNCTION("""COMPUTED_VALUE"""),"0")</f>
        <v>0</v>
      </c>
      <c r="O365" s="95"/>
      <c r="P365" s="95"/>
      <c r="Q365" s="95"/>
      <c r="R365" s="95"/>
      <c r="S365" s="95"/>
      <c r="T365" s="95"/>
      <c r="U365" s="95"/>
      <c r="V365" s="95"/>
      <c r="W365" s="95"/>
      <c r="X365" s="95"/>
      <c r="Y365" s="95"/>
      <c r="Z365" s="95"/>
      <c r="AA365" s="95"/>
      <c r="AB365" s="95"/>
      <c r="AC365" s="95"/>
    </row>
    <row r="366" ht="15.75" customHeight="1" spans="1:29">
      <c r="A366" s="95"/>
      <c r="B366" s="95"/>
      <c r="C366" s="102" t="str">
        <f>IFERROR(__xludf.DUMMYFUNCTION("""COMPUTED_VALUE"""),"ESCOLA MUNICIPAL PROFESSORA LUZIANA MARIA PEREIRA")</f>
        <v>ESCOLA MUNICIPAL PROFESSORA LUZIANA MARIA PEREIRA</v>
      </c>
      <c r="D366" s="95" t="str">
        <f>IFERROR(__xludf.DUMMYFUNCTION("""COMPUTED_VALUE"""),"INFANTIL 4")</f>
        <v>INFANTIL 4</v>
      </c>
      <c r="E366" s="95" t="str">
        <f>IFERROR(__xludf.DUMMYFUNCTION("""COMPUTED_VALUE"""),"Matutino/Manhã")</f>
        <v>Matutino/Manhã</v>
      </c>
      <c r="F366" s="95" t="str">
        <f>IFERROR(__xludf.DUMMYFUNCTION("""COMPUTED_VALUE"""),"Comum")</f>
        <v>Comum</v>
      </c>
      <c r="G366" s="95" t="str">
        <f>IFERROR(__xludf.DUMMYFUNCTION("""COMPUTED_VALUE"""),"1")</f>
        <v>1</v>
      </c>
      <c r="H366" s="95" t="str">
        <f>IFERROR(__xludf.DUMMYFUNCTION("""COMPUTED_VALUE"""),"26052716390")</f>
        <v>26052716390</v>
      </c>
      <c r="I366" s="105" t="str">
        <f>IFERROR(__xludf.DUMMYFUNCTION("""COMPUTED_VALUE"""),"13/05/2026 10:35:32")</f>
        <v>13/05/2026 10:35:32</v>
      </c>
      <c r="J366" s="95" t="str">
        <f>IFERROR(__xludf.DUMMYFUNCTION("""COMPUTED_VALUE"""),"GABRIEL VITOR DOS SANTOS")</f>
        <v>GABRIEL VITOR DOS SANTOS</v>
      </c>
      <c r="K366" s="95" t="str">
        <f>IFERROR(__xludf.DUMMYFUNCTION("""COMPUTED_VALUE"""),"176.802.894-09")</f>
        <v>176.802.894-09</v>
      </c>
      <c r="L366" s="104" t="str">
        <f>IFERROR(__xludf.DUMMYFUNCTION("""COMPUTED_VALUE"""),"16/05/2021")</f>
        <v>16/05/2021</v>
      </c>
      <c r="M366" s="104"/>
      <c r="N366" s="95" t="str">
        <f>IFERROR(__xludf.DUMMYFUNCTION("""COMPUTED_VALUE"""),"0")</f>
        <v>0</v>
      </c>
      <c r="O366" s="95"/>
      <c r="P366" s="95"/>
      <c r="Q366" s="95"/>
      <c r="R366" s="95"/>
      <c r="S366" s="95"/>
      <c r="T366" s="95"/>
      <c r="U366" s="95"/>
      <c r="V366" s="95"/>
      <c r="W366" s="95"/>
      <c r="X366" s="95"/>
      <c r="Y366" s="95"/>
      <c r="Z366" s="95"/>
      <c r="AA366" s="95"/>
      <c r="AB366" s="95"/>
      <c r="AC366" s="95"/>
    </row>
    <row r="367" ht="15.75" customHeight="1" spans="1:29">
      <c r="A367" s="95"/>
      <c r="B367" s="95"/>
      <c r="C367" s="102" t="str">
        <f>IFERROR(__xludf.DUMMYFUNCTION("""COMPUTED_VALUE"""),"ESCOLA MUNICIPAL PROFESSORA LUZIANA MARIA PEREIRA")</f>
        <v>ESCOLA MUNICIPAL PROFESSORA LUZIANA MARIA PEREIRA</v>
      </c>
      <c r="D367" s="95" t="str">
        <f>IFERROR(__xludf.DUMMYFUNCTION("""COMPUTED_VALUE"""),"INFANTIL 4")</f>
        <v>INFANTIL 4</v>
      </c>
      <c r="E367" s="95" t="str">
        <f>IFERROR(__xludf.DUMMYFUNCTION("""COMPUTED_VALUE"""),"Vespertino/Tarde")</f>
        <v>Vespertino/Tarde</v>
      </c>
      <c r="F367" s="95" t="str">
        <f>IFERROR(__xludf.DUMMYFUNCTION("""COMPUTED_VALUE"""),"Comum")</f>
        <v>Comum</v>
      </c>
      <c r="G367" s="95" t="str">
        <f>IFERROR(__xludf.DUMMYFUNCTION("""COMPUTED_VALUE"""),"1")</f>
        <v>1</v>
      </c>
      <c r="H367" s="95" t="str">
        <f>IFERROR(__xludf.DUMMYFUNCTION("""COMPUTED_VALUE"""),"26022672322")</f>
        <v>26022672322</v>
      </c>
      <c r="I367" s="105" t="str">
        <f>IFERROR(__xludf.DUMMYFUNCTION("""COMPUTED_VALUE"""),"05/02/2026 15:15:59")</f>
        <v>05/02/2026 15:15:59</v>
      </c>
      <c r="J367" s="95" t="str">
        <f>IFERROR(__xludf.DUMMYFUNCTION("""COMPUTED_VALUE"""),"LEVI CORREIA DA SILVA SOARES")</f>
        <v>LEVI CORREIA DA SILVA SOARES</v>
      </c>
      <c r="K367" s="95" t="str">
        <f>IFERROR(__xludf.DUMMYFUNCTION("""COMPUTED_VALUE"""),"597.700.368-46")</f>
        <v>597.700.368-46</v>
      </c>
      <c r="L367" s="104" t="str">
        <f>IFERROR(__xludf.DUMMYFUNCTION("""COMPUTED_VALUE"""),"28/09/2021")</f>
        <v>28/09/2021</v>
      </c>
      <c r="M367" s="104"/>
      <c r="N367" s="95" t="str">
        <f>IFERROR(__xludf.DUMMYFUNCTION("""COMPUTED_VALUE"""),"0")</f>
        <v>0</v>
      </c>
      <c r="O367" s="95"/>
      <c r="P367" s="95"/>
      <c r="Q367" s="95"/>
      <c r="R367" s="95"/>
      <c r="S367" s="95"/>
      <c r="T367" s="95"/>
      <c r="U367" s="95"/>
      <c r="V367" s="95"/>
      <c r="W367" s="95"/>
      <c r="X367" s="95"/>
      <c r="Y367" s="95"/>
      <c r="Z367" s="95"/>
      <c r="AA367" s="95"/>
      <c r="AB367" s="95"/>
      <c r="AC367" s="95"/>
    </row>
    <row r="368" ht="15.75" customHeight="1" spans="1:29">
      <c r="A368" s="95"/>
      <c r="B368" s="95"/>
      <c r="C368" s="102" t="str">
        <f>IFERROR(__xludf.DUMMYFUNCTION("""COMPUTED_VALUE"""),"ESCOLA MUNICIPAL PROFESSORA LUZIANA MARIA PEREIRA")</f>
        <v>ESCOLA MUNICIPAL PROFESSORA LUZIANA MARIA PEREIRA</v>
      </c>
      <c r="D368" s="95" t="str">
        <f>IFERROR(__xludf.DUMMYFUNCTION("""COMPUTED_VALUE"""),"INFANTIL 4")</f>
        <v>INFANTIL 4</v>
      </c>
      <c r="E368" s="95" t="str">
        <f>IFERROR(__xludf.DUMMYFUNCTION("""COMPUTED_VALUE"""),"Vespertino/Tarde")</f>
        <v>Vespertino/Tarde</v>
      </c>
      <c r="F368" s="95" t="str">
        <f>IFERROR(__xludf.DUMMYFUNCTION("""COMPUTED_VALUE"""),"Comum")</f>
        <v>Comum</v>
      </c>
      <c r="G368" s="95" t="str">
        <f>IFERROR(__xludf.DUMMYFUNCTION("""COMPUTED_VALUE"""),"2")</f>
        <v>2</v>
      </c>
      <c r="H368" s="95" t="str">
        <f>IFERROR(__xludf.DUMMYFUNCTION("""COMPUTED_VALUE"""),"26032683785")</f>
        <v>26032683785</v>
      </c>
      <c r="I368" s="105" t="str">
        <f>IFERROR(__xludf.DUMMYFUNCTION("""COMPUTED_VALUE"""),"03/03/2026 10:08:56")</f>
        <v>03/03/2026 10:08:56</v>
      </c>
      <c r="J368" s="95" t="str">
        <f>IFERROR(__xludf.DUMMYFUNCTION("""COMPUTED_VALUE"""),"AURORA BEATRIZ DA SILVA BEZERRA")</f>
        <v>AURORA BEATRIZ DA SILVA BEZERRA</v>
      </c>
      <c r="K368" s="95" t="str">
        <f>IFERROR(__xludf.DUMMYFUNCTION("""COMPUTED_VALUE"""),"178.366.824-55")</f>
        <v>178.366.824-55</v>
      </c>
      <c r="L368" s="106" t="str">
        <f>IFERROR(__xludf.DUMMYFUNCTION("""COMPUTED_VALUE"""),"08/09/2021")</f>
        <v>08/09/2021</v>
      </c>
      <c r="M368" s="104"/>
      <c r="N368" s="95" t="str">
        <f>IFERROR(__xludf.DUMMYFUNCTION("""COMPUTED_VALUE"""),"0")</f>
        <v>0</v>
      </c>
      <c r="O368" s="95"/>
      <c r="P368" s="95"/>
      <c r="Q368" s="95"/>
      <c r="R368" s="95"/>
      <c r="S368" s="95"/>
      <c r="T368" s="95"/>
      <c r="U368" s="95"/>
      <c r="V368" s="95"/>
      <c r="W368" s="95"/>
      <c r="X368" s="95"/>
      <c r="Y368" s="95"/>
      <c r="Z368" s="95"/>
      <c r="AA368" s="95"/>
      <c r="AB368" s="95"/>
      <c r="AC368" s="95"/>
    </row>
    <row r="369" ht="15.75" customHeight="1" spans="1:29">
      <c r="A369" s="95"/>
      <c r="B369" s="95"/>
      <c r="C369" s="102" t="str">
        <f>IFERROR(__xludf.DUMMYFUNCTION("""COMPUTED_VALUE"""),"ESCOLA MUNICIPAL PROFESSORA LUZIANA MARIA PEREIRA")</f>
        <v>ESCOLA MUNICIPAL PROFESSORA LUZIANA MARIA PEREIRA</v>
      </c>
      <c r="D369" s="95" t="str">
        <f>IFERROR(__xludf.DUMMYFUNCTION("""COMPUTED_VALUE"""),"INFANTIL 5")</f>
        <v>INFANTIL 5</v>
      </c>
      <c r="E369" s="95" t="str">
        <f>IFERROR(__xludf.DUMMYFUNCTION("""COMPUTED_VALUE"""),"Matutino/Manhã")</f>
        <v>Matutino/Manhã</v>
      </c>
      <c r="F369" s="95" t="str">
        <f>IFERROR(__xludf.DUMMYFUNCTION("""COMPUTED_VALUE"""),"Comum")</f>
        <v>Comum</v>
      </c>
      <c r="G369" s="95" t="str">
        <f>IFERROR(__xludf.DUMMYFUNCTION("""COMPUTED_VALUE"""),"1")</f>
        <v>1</v>
      </c>
      <c r="H369" s="95" t="str">
        <f>IFERROR(__xludf.DUMMYFUNCTION("""COMPUTED_VALUE"""),"26012402811")</f>
        <v>26012402811</v>
      </c>
      <c r="I369" s="105" t="str">
        <f>IFERROR(__xludf.DUMMYFUNCTION("""COMPUTED_VALUE"""),"28/01/2026 13:40:28")</f>
        <v>28/01/2026 13:40:28</v>
      </c>
      <c r="J369" s="95" t="str">
        <f>IFERROR(__xludf.DUMMYFUNCTION("""COMPUTED_VALUE"""),"VALENTINA VICTORIA MERCES DA SILVA")</f>
        <v>VALENTINA VICTORIA MERCES DA SILVA</v>
      </c>
      <c r="K369" s="95" t="str">
        <f>IFERROR(__xludf.DUMMYFUNCTION("""COMPUTED_VALUE"""),"176.158.214-36")</f>
        <v>176.158.214-36</v>
      </c>
      <c r="L369" s="104" t="str">
        <f>IFERROR(__xludf.DUMMYFUNCTION("""COMPUTED_VALUE"""),"28/03/2021")</f>
        <v>28/03/2021</v>
      </c>
      <c r="M369" s="104"/>
      <c r="N369" s="95" t="str">
        <f>IFERROR(__xludf.DUMMYFUNCTION("""COMPUTED_VALUE"""),"0")</f>
        <v>0</v>
      </c>
      <c r="O369" s="95"/>
      <c r="P369" s="95"/>
      <c r="Q369" s="95"/>
      <c r="R369" s="95"/>
      <c r="S369" s="95"/>
      <c r="T369" s="95"/>
      <c r="U369" s="95"/>
      <c r="V369" s="95"/>
      <c r="W369" s="95"/>
      <c r="X369" s="95"/>
      <c r="Y369" s="95"/>
      <c r="Z369" s="95"/>
      <c r="AA369" s="95"/>
      <c r="AB369" s="95"/>
      <c r="AC369" s="95"/>
    </row>
    <row r="370" ht="15.75" customHeight="1" spans="1:29">
      <c r="A370" s="95"/>
      <c r="B370" s="95"/>
      <c r="C370" s="102" t="str">
        <f>IFERROR(__xludf.DUMMYFUNCTION("""COMPUTED_VALUE"""),"ESCOLA MUNICIPAL PROFESSORA LUZIANA MARIA PEREIRA")</f>
        <v>ESCOLA MUNICIPAL PROFESSORA LUZIANA MARIA PEREIRA</v>
      </c>
      <c r="D370" s="95" t="str">
        <f>IFERROR(__xludf.DUMMYFUNCTION("""COMPUTED_VALUE"""),"INFANTIL 5")</f>
        <v>INFANTIL 5</v>
      </c>
      <c r="E370" s="95" t="str">
        <f>IFERROR(__xludf.DUMMYFUNCTION("""COMPUTED_VALUE"""),"Matutino/Manhã")</f>
        <v>Matutino/Manhã</v>
      </c>
      <c r="F370" s="95" t="str">
        <f>IFERROR(__xludf.DUMMYFUNCTION("""COMPUTED_VALUE"""),"Comum")</f>
        <v>Comum</v>
      </c>
      <c r="G370" s="95" t="str">
        <f>IFERROR(__xludf.DUMMYFUNCTION("""COMPUTED_VALUE"""),"2")</f>
        <v>2</v>
      </c>
      <c r="H370" s="95" t="str">
        <f>IFERROR(__xludf.DUMMYFUNCTION("""COMPUTED_VALUE"""),"26012678498")</f>
        <v>26012678498</v>
      </c>
      <c r="I370" s="105" t="str">
        <f>IFERROR(__xludf.DUMMYFUNCTION("""COMPUTED_VALUE"""),"29/01/2026 16:10:52")</f>
        <v>29/01/2026 16:10:52</v>
      </c>
      <c r="J370" s="95" t="str">
        <f>IFERROR(__xludf.DUMMYFUNCTION("""COMPUTED_VALUE"""),"ADRIEL SANCHEZ ALVES DA SILVA")</f>
        <v>ADRIEL SANCHEZ ALVES DA SILVA</v>
      </c>
      <c r="K370" s="95" t="str">
        <f>IFERROR(__xludf.DUMMYFUNCTION("""COMPUTED_VALUE"""),"173.921.024-78")</f>
        <v>173.921.024-78</v>
      </c>
      <c r="L370" s="104" t="str">
        <f>IFERROR(__xludf.DUMMYFUNCTION("""COMPUTED_VALUE"""),"22/10/2020")</f>
        <v>22/10/2020</v>
      </c>
      <c r="M370" s="104"/>
      <c r="N370" s="95" t="str">
        <f>IFERROR(__xludf.DUMMYFUNCTION("""COMPUTED_VALUE"""),"0")</f>
        <v>0</v>
      </c>
      <c r="O370" s="95"/>
      <c r="P370" s="95"/>
      <c r="Q370" s="95"/>
      <c r="R370" s="95"/>
      <c r="S370" s="95"/>
      <c r="T370" s="95"/>
      <c r="U370" s="95"/>
      <c r="V370" s="95"/>
      <c r="W370" s="95"/>
      <c r="X370" s="95"/>
      <c r="Y370" s="95"/>
      <c r="Z370" s="95"/>
      <c r="AA370" s="95"/>
      <c r="AB370" s="95"/>
      <c r="AC370" s="95"/>
    </row>
    <row r="371" ht="15.75" customHeight="1" spans="1:29">
      <c r="A371" s="95"/>
      <c r="B371" s="95"/>
      <c r="C371" s="102" t="str">
        <f>IFERROR(__xludf.DUMMYFUNCTION("""COMPUTED_VALUE"""),"ESCOLA MUNICIPAL PROFESSORA LUZIANA MARIA PEREIRA")</f>
        <v>ESCOLA MUNICIPAL PROFESSORA LUZIANA MARIA PEREIRA</v>
      </c>
      <c r="D371" s="95" t="str">
        <f>IFERROR(__xludf.DUMMYFUNCTION("""COMPUTED_VALUE"""),"INFANTIL 5")</f>
        <v>INFANTIL 5</v>
      </c>
      <c r="E371" s="95" t="str">
        <f>IFERROR(__xludf.DUMMYFUNCTION("""COMPUTED_VALUE"""),"Matutino/Manhã")</f>
        <v>Matutino/Manhã</v>
      </c>
      <c r="F371" s="95" t="str">
        <f>IFERROR(__xludf.DUMMYFUNCTION("""COMPUTED_VALUE"""),"Comum")</f>
        <v>Comum</v>
      </c>
      <c r="G371" s="95" t="str">
        <f>IFERROR(__xludf.DUMMYFUNCTION("""COMPUTED_VALUE"""),"3")</f>
        <v>3</v>
      </c>
      <c r="H371" s="95" t="str">
        <f>IFERROR(__xludf.DUMMYFUNCTION("""COMPUTED_VALUE"""),"26032074783")</f>
        <v>26032074783</v>
      </c>
      <c r="I371" s="103" t="str">
        <f>IFERROR(__xludf.DUMMYFUNCTION("""COMPUTED_VALUE"""),"11/03/2026 14:57:40")</f>
        <v>11/03/2026 14:57:40</v>
      </c>
      <c r="J371" s="95" t="str">
        <f>IFERROR(__xludf.DUMMYFUNCTION("""COMPUTED_VALUE"""),"LARA RODRIGUES DO NASCIMENTO")</f>
        <v>LARA RODRIGUES DO NASCIMENTO</v>
      </c>
      <c r="K371" s="95" t="str">
        <f>IFERROR(__xludf.DUMMYFUNCTION("""COMPUTED_VALUE"""),"175.107.604-02")</f>
        <v>175.107.604-02</v>
      </c>
      <c r="L371" s="104" t="str">
        <f>IFERROR(__xludf.DUMMYFUNCTION("""COMPUTED_VALUE"""),"04/12/2020")</f>
        <v>04/12/2020</v>
      </c>
      <c r="M371" s="104"/>
      <c r="N371" s="95" t="str">
        <f>IFERROR(__xludf.DUMMYFUNCTION("""COMPUTED_VALUE"""),"0")</f>
        <v>0</v>
      </c>
      <c r="O371" s="95"/>
      <c r="P371" s="95"/>
      <c r="Q371" s="95"/>
      <c r="R371" s="95"/>
      <c r="S371" s="95"/>
      <c r="T371" s="95"/>
      <c r="U371" s="95"/>
      <c r="V371" s="95"/>
      <c r="W371" s="95"/>
      <c r="X371" s="95"/>
      <c r="Y371" s="95"/>
      <c r="Z371" s="95"/>
      <c r="AA371" s="95"/>
      <c r="AB371" s="95"/>
      <c r="AC371" s="95"/>
    </row>
    <row r="372" ht="15.75" customHeight="1" spans="1:29">
      <c r="A372" s="95"/>
      <c r="B372" s="95"/>
      <c r="C372" s="102" t="str">
        <f>IFERROR(__xludf.DUMMYFUNCTION("""COMPUTED_VALUE"""),"ESCOLA MUNICIPAL PROFESSORA LUZIANA MARIA PEREIRA")</f>
        <v>ESCOLA MUNICIPAL PROFESSORA LUZIANA MARIA PEREIRA</v>
      </c>
      <c r="D372" s="95" t="str">
        <f>IFERROR(__xludf.DUMMYFUNCTION("""COMPUTED_VALUE"""),"INFANTIL 5")</f>
        <v>INFANTIL 5</v>
      </c>
      <c r="E372" s="95" t="str">
        <f>IFERROR(__xludf.DUMMYFUNCTION("""COMPUTED_VALUE"""),"Matutino/Manhã")</f>
        <v>Matutino/Manhã</v>
      </c>
      <c r="F372" s="95" t="str">
        <f>IFERROR(__xludf.DUMMYFUNCTION("""COMPUTED_VALUE"""),"Comum")</f>
        <v>Comum</v>
      </c>
      <c r="G372" s="95" t="str">
        <f>IFERROR(__xludf.DUMMYFUNCTION("""COMPUTED_VALUE"""),"4")</f>
        <v>4</v>
      </c>
      <c r="H372" s="95" t="str">
        <f>IFERROR(__xludf.DUMMYFUNCTION("""COMPUTED_VALUE"""),"26032604864")</f>
        <v>26032604864</v>
      </c>
      <c r="I372" s="103" t="str">
        <f>IFERROR(__xludf.DUMMYFUNCTION("""COMPUTED_VALUE"""),"27/03/2026 12:38:23")</f>
        <v>27/03/2026 12:38:23</v>
      </c>
      <c r="J372" s="95" t="str">
        <f>IFERROR(__xludf.DUMMYFUNCTION("""COMPUTED_VALUE"""),"JOÃO LUCAS WUTEMBERG DOS SANTOS")</f>
        <v>JOÃO LUCAS WUTEMBERG DOS SANTOS</v>
      </c>
      <c r="K372" s="95" t="str">
        <f>IFERROR(__xludf.DUMMYFUNCTION("""COMPUTED_VALUE"""),"175.860.024-10")</f>
        <v>175.860.024-10</v>
      </c>
      <c r="L372" s="106" t="str">
        <f>IFERROR(__xludf.DUMMYFUNCTION("""COMPUTED_VALUE"""),"11/03/2021")</f>
        <v>11/03/2021</v>
      </c>
      <c r="M372" s="104"/>
      <c r="N372" s="95" t="str">
        <f>IFERROR(__xludf.DUMMYFUNCTION("""COMPUTED_VALUE"""),"0")</f>
        <v>0</v>
      </c>
      <c r="O372" s="95"/>
      <c r="P372" s="95"/>
      <c r="Q372" s="95"/>
      <c r="R372" s="95"/>
      <c r="S372" s="95"/>
      <c r="T372" s="95"/>
      <c r="U372" s="95"/>
      <c r="V372" s="95"/>
      <c r="W372" s="95"/>
      <c r="X372" s="95"/>
      <c r="Y372" s="95"/>
      <c r="Z372" s="95"/>
      <c r="AA372" s="95"/>
      <c r="AB372" s="95"/>
      <c r="AC372" s="95"/>
    </row>
    <row r="373" ht="15.75" customHeight="1" spans="1:29">
      <c r="A373" s="95"/>
      <c r="B373" s="95"/>
      <c r="C373" s="102" t="str">
        <f>IFERROR(__xludf.DUMMYFUNCTION("""COMPUTED_VALUE"""),"ESCOLA MUNICIPAL PROFESSORA LUZIANA MARIA PEREIRA")</f>
        <v>ESCOLA MUNICIPAL PROFESSORA LUZIANA MARIA PEREIRA</v>
      </c>
      <c r="D373" s="95" t="str">
        <f>IFERROR(__xludf.DUMMYFUNCTION("""COMPUTED_VALUE"""),"INFANTIL 5")</f>
        <v>INFANTIL 5</v>
      </c>
      <c r="E373" s="95" t="str">
        <f>IFERROR(__xludf.DUMMYFUNCTION("""COMPUTED_VALUE"""),"Vespertino/Tarde")</f>
        <v>Vespertino/Tarde</v>
      </c>
      <c r="F373" s="95" t="str">
        <f>IFERROR(__xludf.DUMMYFUNCTION("""COMPUTED_VALUE"""),"Comum")</f>
        <v>Comum</v>
      </c>
      <c r="G373" s="95" t="str">
        <f>IFERROR(__xludf.DUMMYFUNCTION("""COMPUTED_VALUE"""),"1")</f>
        <v>1</v>
      </c>
      <c r="H373" s="95" t="str">
        <f>IFERROR(__xludf.DUMMYFUNCTION("""COMPUTED_VALUE"""),"26022634763")</f>
        <v>26022634763</v>
      </c>
      <c r="I373" s="103" t="str">
        <f>IFERROR(__xludf.DUMMYFUNCTION("""COMPUTED_VALUE"""),"02/02/2026 19:02:20")</f>
        <v>02/02/2026 19:02:20</v>
      </c>
      <c r="J373" s="95" t="str">
        <f>IFERROR(__xludf.DUMMYFUNCTION("""COMPUTED_VALUE"""),"ÁGATA VITÓRIA DE LIMA GOMES")</f>
        <v>ÁGATA VITÓRIA DE LIMA GOMES</v>
      </c>
      <c r="K373" s="95" t="str">
        <f>IFERROR(__xludf.DUMMYFUNCTION("""COMPUTED_VALUE"""),"175.162.524-92")</f>
        <v>175.162.524-92</v>
      </c>
      <c r="L373" s="104" t="str">
        <f>IFERROR(__xludf.DUMMYFUNCTION("""COMPUTED_VALUE"""),"14/01/2021")</f>
        <v>14/01/2021</v>
      </c>
      <c r="M373" s="104"/>
      <c r="N373" s="95" t="str">
        <f>IFERROR(__xludf.DUMMYFUNCTION("""COMPUTED_VALUE"""),"0")</f>
        <v>0</v>
      </c>
      <c r="O373" s="95"/>
      <c r="P373" s="95"/>
      <c r="Q373" s="95"/>
      <c r="R373" s="95"/>
      <c r="S373" s="95"/>
      <c r="T373" s="95"/>
      <c r="U373" s="95"/>
      <c r="V373" s="95"/>
      <c r="W373" s="95"/>
      <c r="X373" s="95"/>
      <c r="Y373" s="95"/>
      <c r="Z373" s="95"/>
      <c r="AA373" s="95"/>
      <c r="AB373" s="95"/>
      <c r="AC373" s="95"/>
    </row>
    <row r="374" ht="15.75" customHeight="1" spans="1:29">
      <c r="A374" s="95"/>
      <c r="B374" s="95"/>
      <c r="C374" s="102" t="str">
        <f>IFERROR(__xludf.DUMMYFUNCTION("""COMPUTED_VALUE"""),"ESCOLA MUNICIPAL PROFESSORA NAZETE VIEIRA DE LIMA")</f>
        <v>ESCOLA MUNICIPAL PROFESSORA NAZETE VIEIRA DE LIMA</v>
      </c>
      <c r="D374" s="95" t="str">
        <f>IFERROR(__xludf.DUMMYFUNCTION("""COMPUTED_VALUE"""),"INFANTIL 4")</f>
        <v>INFANTIL 4</v>
      </c>
      <c r="E374" s="95" t="str">
        <f>IFERROR(__xludf.DUMMYFUNCTION("""COMPUTED_VALUE"""),"Matutino/Manhã")</f>
        <v>Matutino/Manhã</v>
      </c>
      <c r="F374" s="95" t="str">
        <f>IFERROR(__xludf.DUMMYFUNCTION("""COMPUTED_VALUE"""),"Comum")</f>
        <v>Comum</v>
      </c>
      <c r="G374" s="95" t="str">
        <f>IFERROR(__xludf.DUMMYFUNCTION("""COMPUTED_VALUE"""),"1")</f>
        <v>1</v>
      </c>
      <c r="H374" s="95" t="str">
        <f>IFERROR(__xludf.DUMMYFUNCTION("""COMPUTED_VALUE"""),"26042942959")</f>
        <v>26042942959</v>
      </c>
      <c r="I374" s="103" t="str">
        <f>IFERROR(__xludf.DUMMYFUNCTION("""COMPUTED_VALUE"""),"09/04/2026 08:48:44")</f>
        <v>09/04/2026 08:48:44</v>
      </c>
      <c r="J374" s="95" t="str">
        <f>IFERROR(__xludf.DUMMYFUNCTION("""COMPUTED_VALUE"""),"MARIA HELOISA GOMES DA COSTA")</f>
        <v>MARIA HELOISA GOMES DA COSTA</v>
      </c>
      <c r="K374" s="95" t="str">
        <f>IFERROR(__xludf.DUMMYFUNCTION("""COMPUTED_VALUE"""),"178.418.064-50")</f>
        <v>178.418.064-50</v>
      </c>
      <c r="L374" s="104" t="str">
        <f>IFERROR(__xludf.DUMMYFUNCTION("""COMPUTED_VALUE"""),"20/09/2021")</f>
        <v>20/09/2021</v>
      </c>
      <c r="M374" s="104"/>
      <c r="N374" s="95" t="str">
        <f>IFERROR(__xludf.DUMMYFUNCTION("""COMPUTED_VALUE"""),"0")</f>
        <v>0</v>
      </c>
      <c r="O374" s="95"/>
      <c r="P374" s="95"/>
      <c r="Q374" s="95"/>
      <c r="R374" s="95"/>
      <c r="S374" s="95"/>
      <c r="T374" s="95"/>
      <c r="U374" s="95"/>
      <c r="V374" s="95"/>
      <c r="W374" s="95"/>
      <c r="X374" s="95"/>
      <c r="Y374" s="95"/>
      <c r="Z374" s="95"/>
      <c r="AA374" s="95"/>
      <c r="AB374" s="95"/>
      <c r="AC374" s="95"/>
    </row>
    <row r="375" ht="15.75" customHeight="1" spans="1:29">
      <c r="A375" s="95"/>
      <c r="B375" s="95"/>
      <c r="C375" s="102" t="str">
        <f>IFERROR(__xludf.DUMMYFUNCTION("""COMPUTED_VALUE"""),"ESCOLA MUNICIPAL PROFESSORA ODETE GOMES DE MORAIS")</f>
        <v>ESCOLA MUNICIPAL PROFESSORA ODETE GOMES DE MORAIS</v>
      </c>
      <c r="D375" s="95" t="str">
        <f>IFERROR(__xludf.DUMMYFUNCTION("""COMPUTED_VALUE"""),"INFANTIL 5")</f>
        <v>INFANTIL 5</v>
      </c>
      <c r="E375" s="95" t="str">
        <f>IFERROR(__xludf.DUMMYFUNCTION("""COMPUTED_VALUE"""),"Vespertino/Tarde")</f>
        <v>Vespertino/Tarde</v>
      </c>
      <c r="F375" s="95" t="str">
        <f>IFERROR(__xludf.DUMMYFUNCTION("""COMPUTED_VALUE"""),"Comum")</f>
        <v>Comum</v>
      </c>
      <c r="G375" s="95" t="str">
        <f>IFERROR(__xludf.DUMMYFUNCTION("""COMPUTED_VALUE"""),"1")</f>
        <v>1</v>
      </c>
      <c r="H375" s="95" t="str">
        <f>IFERROR(__xludf.DUMMYFUNCTION("""COMPUTED_VALUE"""),"26012194291")</f>
        <v>26012194291</v>
      </c>
      <c r="I375" s="105" t="str">
        <f>IFERROR(__xludf.DUMMYFUNCTION("""COMPUTED_VALUE"""),"28/01/2026 09:58:31")</f>
        <v>28/01/2026 09:58:31</v>
      </c>
      <c r="J375" s="95" t="str">
        <f>IFERROR(__xludf.DUMMYFUNCTION("""COMPUTED_VALUE"""),"YURI RODRIGO DA SILVA")</f>
        <v>YURI RODRIGO DA SILVA</v>
      </c>
      <c r="K375" s="95" t="str">
        <f>IFERROR(__xludf.DUMMYFUNCTION("""COMPUTED_VALUE"""),"173.370.174-56")</f>
        <v>173.370.174-56</v>
      </c>
      <c r="L375" s="104" t="str">
        <f>IFERROR(__xludf.DUMMYFUNCTION("""COMPUTED_VALUE"""),"28/08/2020")</f>
        <v>28/08/2020</v>
      </c>
      <c r="M375" s="104"/>
      <c r="N375" s="95" t="str">
        <f>IFERROR(__xludf.DUMMYFUNCTION("""COMPUTED_VALUE"""),"0")</f>
        <v>0</v>
      </c>
      <c r="O375" s="95"/>
      <c r="P375" s="95"/>
      <c r="Q375" s="95"/>
      <c r="R375" s="95"/>
      <c r="S375" s="95"/>
      <c r="T375" s="95"/>
      <c r="U375" s="95"/>
      <c r="V375" s="95"/>
      <c r="W375" s="95"/>
      <c r="X375" s="95"/>
      <c r="Y375" s="95"/>
      <c r="Z375" s="95"/>
      <c r="AA375" s="95"/>
      <c r="AB375" s="95"/>
      <c r="AC375" s="95"/>
    </row>
    <row r="376" ht="15.75" customHeight="1" spans="1:29">
      <c r="A376" s="95"/>
      <c r="B376" s="95"/>
      <c r="C376" s="102" t="str">
        <f>IFERROR(__xludf.DUMMYFUNCTION("""COMPUTED_VALUE"""),"ESCOLA MUNICIPAL RURAL MARIA FEIJÓ")</f>
        <v>ESCOLA MUNICIPAL RURAL MARIA FEIJÓ</v>
      </c>
      <c r="D376" s="95" t="str">
        <f>IFERROR(__xludf.DUMMYFUNCTION("""COMPUTED_VALUE"""),"INFANTIL 4")</f>
        <v>INFANTIL 4</v>
      </c>
      <c r="E376" s="95" t="str">
        <f>IFERROR(__xludf.DUMMYFUNCTION("""COMPUTED_VALUE"""),"Matutino/Manhã")</f>
        <v>Matutino/Manhã</v>
      </c>
      <c r="F376" s="95" t="str">
        <f>IFERROR(__xludf.DUMMYFUNCTION("""COMPUTED_VALUE"""),"Comum")</f>
        <v>Comum</v>
      </c>
      <c r="G376" s="95" t="str">
        <f>IFERROR(__xludf.DUMMYFUNCTION("""COMPUTED_VALUE"""),"1")</f>
        <v>1</v>
      </c>
      <c r="H376" s="95" t="str">
        <f>IFERROR(__xludf.DUMMYFUNCTION("""COMPUTED_VALUE"""),"26022858596")</f>
        <v>26022858596</v>
      </c>
      <c r="I376" s="105" t="str">
        <f>IFERROR(__xludf.DUMMYFUNCTION("""COMPUTED_VALUE"""),"10/02/2026 17:14:09")</f>
        <v>10/02/2026 17:14:09</v>
      </c>
      <c r="J376" s="95" t="str">
        <f>IFERROR(__xludf.DUMMYFUNCTION("""COMPUTED_VALUE"""),"JÚLIO CÉSAR DA SILVA ALVES")</f>
        <v>JÚLIO CÉSAR DA SILVA ALVES</v>
      </c>
      <c r="K376" s="95" t="str">
        <f>IFERROR(__xludf.DUMMYFUNCTION("""COMPUTED_VALUE"""),"178.815.924-19")</f>
        <v>178.815.924-19</v>
      </c>
      <c r="L376" s="104" t="str">
        <f>IFERROR(__xludf.DUMMYFUNCTION("""COMPUTED_VALUE"""),"20/10/2021")</f>
        <v>20/10/2021</v>
      </c>
      <c r="M376" s="104"/>
      <c r="N376" s="95" t="str">
        <f>IFERROR(__xludf.DUMMYFUNCTION("""COMPUTED_VALUE"""),"0")</f>
        <v>0</v>
      </c>
      <c r="O376" s="95"/>
      <c r="P376" s="95"/>
      <c r="Q376" s="95"/>
      <c r="R376" s="95"/>
      <c r="S376" s="95"/>
      <c r="T376" s="95"/>
      <c r="U376" s="95"/>
      <c r="V376" s="95"/>
      <c r="W376" s="95"/>
      <c r="X376" s="95"/>
      <c r="Y376" s="95"/>
      <c r="Z376" s="95"/>
      <c r="AA376" s="95"/>
      <c r="AB376" s="95"/>
      <c r="AC376" s="95"/>
    </row>
    <row r="377" ht="15.75" customHeight="1" spans="1:29">
      <c r="A377" s="95"/>
      <c r="B377" s="95"/>
      <c r="C377" s="102" t="str">
        <f>IFERROR(__xludf.DUMMYFUNCTION("""COMPUTED_VALUE"""),"ESCOLA MUNICIPAL RURAL MARIA FEIJÓ")</f>
        <v>ESCOLA MUNICIPAL RURAL MARIA FEIJÓ</v>
      </c>
      <c r="D377" s="95" t="str">
        <f>IFERROR(__xludf.DUMMYFUNCTION("""COMPUTED_VALUE"""),"INFANTIL 4")</f>
        <v>INFANTIL 4</v>
      </c>
      <c r="E377" s="95" t="str">
        <f>IFERROR(__xludf.DUMMYFUNCTION("""COMPUTED_VALUE"""),"Matutino/Manhã")</f>
        <v>Matutino/Manhã</v>
      </c>
      <c r="F377" s="95" t="str">
        <f>IFERROR(__xludf.DUMMYFUNCTION("""COMPUTED_VALUE"""),"Comum")</f>
        <v>Comum</v>
      </c>
      <c r="G377" s="95" t="str">
        <f>IFERROR(__xludf.DUMMYFUNCTION("""COMPUTED_VALUE"""),"2")</f>
        <v>2</v>
      </c>
      <c r="H377" s="95" t="str">
        <f>IFERROR(__xludf.DUMMYFUNCTION("""COMPUTED_VALUE"""),"26022818267")</f>
        <v>26022818267</v>
      </c>
      <c r="I377" s="105" t="str">
        <f>IFERROR(__xludf.DUMMYFUNCTION("""COMPUTED_VALUE"""),"10/02/2026 17:26:01")</f>
        <v>10/02/2026 17:26:01</v>
      </c>
      <c r="J377" s="95" t="str">
        <f>IFERROR(__xludf.DUMMYFUNCTION("""COMPUTED_VALUE"""),"ELLOÁ MIRELLA FERNANDES DA SILVA")</f>
        <v>ELLOÁ MIRELLA FERNANDES DA SILVA</v>
      </c>
      <c r="K377" s="95" t="str">
        <f>IFERROR(__xludf.DUMMYFUNCTION("""COMPUTED_VALUE"""),"180.688.584-07")</f>
        <v>180.688.584-07</v>
      </c>
      <c r="L377" s="106" t="str">
        <f>IFERROR(__xludf.DUMMYFUNCTION("""COMPUTED_VALUE"""),"20/11/2021")</f>
        <v>20/11/2021</v>
      </c>
      <c r="M377" s="104"/>
      <c r="N377" s="95" t="str">
        <f>IFERROR(__xludf.DUMMYFUNCTION("""COMPUTED_VALUE"""),"0")</f>
        <v>0</v>
      </c>
      <c r="O377" s="95"/>
      <c r="P377" s="95"/>
      <c r="Q377" s="95"/>
      <c r="R377" s="95"/>
      <c r="S377" s="95"/>
      <c r="T377" s="95"/>
      <c r="U377" s="95"/>
      <c r="V377" s="95"/>
      <c r="W377" s="95"/>
      <c r="X377" s="95"/>
      <c r="Y377" s="95"/>
      <c r="Z377" s="95"/>
      <c r="AA377" s="95"/>
      <c r="AB377" s="95"/>
      <c r="AC377" s="95"/>
    </row>
    <row r="378" ht="15.75" customHeight="1" spans="1:29">
      <c r="A378" s="95"/>
      <c r="B378" s="95"/>
      <c r="C378" s="102" t="str">
        <f>IFERROR(__xludf.DUMMYFUNCTION("""COMPUTED_VALUE"""),"ESCOLA MUNICIPAL RURAL MARIA FEIJÓ")</f>
        <v>ESCOLA MUNICIPAL RURAL MARIA FEIJÓ</v>
      </c>
      <c r="D378" s="95" t="str">
        <f>IFERROR(__xludf.DUMMYFUNCTION("""COMPUTED_VALUE"""),"INFANTIL 4")</f>
        <v>INFANTIL 4</v>
      </c>
      <c r="E378" s="95" t="str">
        <f>IFERROR(__xludf.DUMMYFUNCTION("""COMPUTED_VALUE"""),"Matutino/Manhã")</f>
        <v>Matutino/Manhã</v>
      </c>
      <c r="F378" s="95" t="str">
        <f>IFERROR(__xludf.DUMMYFUNCTION("""COMPUTED_VALUE"""),"Comum")</f>
        <v>Comum</v>
      </c>
      <c r="G378" s="95" t="str">
        <f>IFERROR(__xludf.DUMMYFUNCTION("""COMPUTED_VALUE"""),"3")</f>
        <v>3</v>
      </c>
      <c r="H378" s="95" t="str">
        <f>IFERROR(__xludf.DUMMYFUNCTION("""COMPUTED_VALUE"""),"26022498994")</f>
        <v>26022498994</v>
      </c>
      <c r="I378" s="105" t="str">
        <f>IFERROR(__xludf.DUMMYFUNCTION("""COMPUTED_VALUE"""),"10/02/2026 17:33:28")</f>
        <v>10/02/2026 17:33:28</v>
      </c>
      <c r="J378" s="95" t="str">
        <f>IFERROR(__xludf.DUMMYFUNCTION("""COMPUTED_VALUE"""),"MARIA LUIZA ALVES DE LIMA")</f>
        <v>MARIA LUIZA ALVES DE LIMA</v>
      </c>
      <c r="K378" s="95" t="str">
        <f>IFERROR(__xludf.DUMMYFUNCTION("""COMPUTED_VALUE"""),"179.946.064-90")</f>
        <v>179.946.064-90</v>
      </c>
      <c r="L378" s="104" t="str">
        <f>IFERROR(__xludf.DUMMYFUNCTION("""COMPUTED_VALUE"""),"04/01/2022")</f>
        <v>04/01/2022</v>
      </c>
      <c r="M378" s="104"/>
      <c r="N378" s="95" t="str">
        <f>IFERROR(__xludf.DUMMYFUNCTION("""COMPUTED_VALUE"""),"0")</f>
        <v>0</v>
      </c>
      <c r="O378" s="95"/>
      <c r="P378" s="95"/>
      <c r="Q378" s="95"/>
      <c r="R378" s="95"/>
      <c r="S378" s="95"/>
      <c r="T378" s="95"/>
      <c r="U378" s="95"/>
      <c r="V378" s="95"/>
      <c r="W378" s="95"/>
      <c r="X378" s="95"/>
      <c r="Y378" s="95"/>
      <c r="Z378" s="95"/>
      <c r="AA378" s="95"/>
      <c r="AB378" s="95"/>
      <c r="AC378" s="95"/>
    </row>
    <row r="379" ht="15.75" customHeight="1" spans="1:29">
      <c r="A379" s="95"/>
      <c r="B379" s="95"/>
      <c r="C379" s="102" t="str">
        <f>IFERROR(__xludf.DUMMYFUNCTION("""COMPUTED_VALUE"""),"ESCOLA MUNICIPAL RURAL MARIA FEIJÓ")</f>
        <v>ESCOLA MUNICIPAL RURAL MARIA FEIJÓ</v>
      </c>
      <c r="D379" s="95" t="str">
        <f>IFERROR(__xludf.DUMMYFUNCTION("""COMPUTED_VALUE"""),"INFANTIL 4")</f>
        <v>INFANTIL 4</v>
      </c>
      <c r="E379" s="95" t="str">
        <f>IFERROR(__xludf.DUMMYFUNCTION("""COMPUTED_VALUE"""),"Matutino/Manhã")</f>
        <v>Matutino/Manhã</v>
      </c>
      <c r="F379" s="95" t="str">
        <f>IFERROR(__xludf.DUMMYFUNCTION("""COMPUTED_VALUE"""),"Comum")</f>
        <v>Comum</v>
      </c>
      <c r="G379" s="95" t="str">
        <f>IFERROR(__xludf.DUMMYFUNCTION("""COMPUTED_VALUE"""),"4")</f>
        <v>4</v>
      </c>
      <c r="H379" s="95" t="str">
        <f>IFERROR(__xludf.DUMMYFUNCTION("""COMPUTED_VALUE"""),"26032565660")</f>
        <v>26032565660</v>
      </c>
      <c r="I379" s="103" t="str">
        <f>IFERROR(__xludf.DUMMYFUNCTION("""COMPUTED_VALUE"""),"02/03/2026 16:17:34")</f>
        <v>02/03/2026 16:17:34</v>
      </c>
      <c r="J379" s="95" t="str">
        <f>IFERROR(__xludf.DUMMYFUNCTION("""COMPUTED_VALUE"""),"LUNNA MANUELA GOMES DA SILVA")</f>
        <v>LUNNA MANUELA GOMES DA SILVA</v>
      </c>
      <c r="K379" s="95" t="str">
        <f>IFERROR(__xludf.DUMMYFUNCTION("""COMPUTED_VALUE"""),"176.420.374-73")</f>
        <v>176.420.374-73</v>
      </c>
      <c r="L379" s="104" t="str">
        <f>IFERROR(__xludf.DUMMYFUNCTION("""COMPUTED_VALUE"""),"24/04/2021")</f>
        <v>24/04/2021</v>
      </c>
      <c r="M379" s="106"/>
      <c r="N379" s="95" t="str">
        <f>IFERROR(__xludf.DUMMYFUNCTION("""COMPUTED_VALUE"""),"0")</f>
        <v>0</v>
      </c>
      <c r="O379" s="95"/>
      <c r="P379" s="95"/>
      <c r="Q379" s="95"/>
      <c r="R379" s="95"/>
      <c r="S379" s="95"/>
      <c r="T379" s="95"/>
      <c r="U379" s="95"/>
      <c r="V379" s="95"/>
      <c r="W379" s="95"/>
      <c r="X379" s="95"/>
      <c r="Y379" s="95"/>
      <c r="Z379" s="95"/>
      <c r="AA379" s="95"/>
      <c r="AB379" s="95"/>
      <c r="AC379" s="95"/>
    </row>
    <row r="380" ht="15.75" customHeight="1" spans="1:29">
      <c r="A380" s="95"/>
      <c r="B380" s="95"/>
      <c r="C380" s="102" t="str">
        <f>IFERROR(__xludf.DUMMYFUNCTION("""COMPUTED_VALUE"""),"ESCOLA MUNICIPAL SANTA EDWIRGES")</f>
        <v>ESCOLA MUNICIPAL SANTA EDWIRGES</v>
      </c>
      <c r="D380" s="95" t="str">
        <f>IFERROR(__xludf.DUMMYFUNCTION("""COMPUTED_VALUE"""),"INFANTIL 5")</f>
        <v>INFANTIL 5</v>
      </c>
      <c r="E380" s="95" t="str">
        <f>IFERROR(__xludf.DUMMYFUNCTION("""COMPUTED_VALUE"""),"Vespertino/Tarde")</f>
        <v>Vespertino/Tarde</v>
      </c>
      <c r="F380" s="95" t="str">
        <f>IFERROR(__xludf.DUMMYFUNCTION("""COMPUTED_VALUE"""),"Comum")</f>
        <v>Comum</v>
      </c>
      <c r="G380" s="95" t="str">
        <f>IFERROR(__xludf.DUMMYFUNCTION("""COMPUTED_VALUE"""),"1")</f>
        <v>1</v>
      </c>
      <c r="H380" s="95" t="str">
        <f>IFERROR(__xludf.DUMMYFUNCTION("""COMPUTED_VALUE"""),"26022175400")</f>
        <v>26022175400</v>
      </c>
      <c r="I380" s="103" t="str">
        <f>IFERROR(__xludf.DUMMYFUNCTION("""COMPUTED_VALUE"""),"25/02/2026 10:24:52")</f>
        <v>25/02/2026 10:24:52</v>
      </c>
      <c r="J380" s="95" t="str">
        <f>IFERROR(__xludf.DUMMYFUNCTION("""COMPUTED_VALUE"""),"JOÃO MIGUEL VIRIATO DOS SANTOS")</f>
        <v>JOÃO MIGUEL VIRIATO DOS SANTOS</v>
      </c>
      <c r="K380" s="95" t="str">
        <f>IFERROR(__xludf.DUMMYFUNCTION("""COMPUTED_VALUE"""),"175.810.884-30")</f>
        <v>175.810.884-30</v>
      </c>
      <c r="L380" s="104" t="str">
        <f>IFERROR(__xludf.DUMMYFUNCTION("""COMPUTED_VALUE"""),"04/03/2021")</f>
        <v>04/03/2021</v>
      </c>
      <c r="M380" s="104"/>
      <c r="N380" s="95" t="str">
        <f>IFERROR(__xludf.DUMMYFUNCTION("""COMPUTED_VALUE"""),"0")</f>
        <v>0</v>
      </c>
      <c r="O380" s="95"/>
      <c r="P380" s="95"/>
      <c r="Q380" s="95"/>
      <c r="R380" s="95"/>
      <c r="S380" s="95"/>
      <c r="T380" s="95"/>
      <c r="U380" s="95"/>
      <c r="V380" s="95"/>
      <c r="W380" s="95"/>
      <c r="X380" s="95"/>
      <c r="Y380" s="95"/>
      <c r="Z380" s="95"/>
      <c r="AA380" s="95"/>
      <c r="AB380" s="95"/>
      <c r="AC380" s="95"/>
    </row>
    <row r="381" ht="15.75" customHeight="1" spans="1:29">
      <c r="A381" s="95"/>
      <c r="B381" s="95"/>
      <c r="C381" s="102" t="str">
        <f>IFERROR(__xludf.DUMMYFUNCTION("""COMPUTED_VALUE"""),"ESCOLA MUNICIPAL SANTA EDWIRGES")</f>
        <v>ESCOLA MUNICIPAL SANTA EDWIRGES</v>
      </c>
      <c r="D381" s="95" t="str">
        <f>IFERROR(__xludf.DUMMYFUNCTION("""COMPUTED_VALUE"""),"INFANTIL 5")</f>
        <v>INFANTIL 5</v>
      </c>
      <c r="E381" s="95" t="str">
        <f>IFERROR(__xludf.DUMMYFUNCTION("""COMPUTED_VALUE"""),"Vespertino/Tarde")</f>
        <v>Vespertino/Tarde</v>
      </c>
      <c r="F381" s="95" t="str">
        <f>IFERROR(__xludf.DUMMYFUNCTION("""COMPUTED_VALUE"""),"Comum")</f>
        <v>Comum</v>
      </c>
      <c r="G381" s="95" t="str">
        <f>IFERROR(__xludf.DUMMYFUNCTION("""COMPUTED_VALUE"""),"2")</f>
        <v>2</v>
      </c>
      <c r="H381" s="95" t="str">
        <f>IFERROR(__xludf.DUMMYFUNCTION("""COMPUTED_VALUE"""),"26022435190")</f>
        <v>26022435190</v>
      </c>
      <c r="I381" s="103" t="str">
        <f>IFERROR(__xludf.DUMMYFUNCTION("""COMPUTED_VALUE"""),"26/02/2026 11:14:58")</f>
        <v>26/02/2026 11:14:58</v>
      </c>
      <c r="J381" s="95" t="str">
        <f>IFERROR(__xludf.DUMMYFUNCTION("""COMPUTED_VALUE"""),"MARIA LAURA MELQUIADES DA SILVA")</f>
        <v>MARIA LAURA MELQUIADES DA SILVA</v>
      </c>
      <c r="K381" s="95" t="str">
        <f>IFERROR(__xludf.DUMMYFUNCTION("""COMPUTED_VALUE"""),"175.432.414-20")</f>
        <v>175.432.414-20</v>
      </c>
      <c r="L381" s="104" t="str">
        <f>IFERROR(__xludf.DUMMYFUNCTION("""COMPUTED_VALUE"""),"28/12/2020")</f>
        <v>28/12/2020</v>
      </c>
      <c r="M381" s="104"/>
      <c r="N381" s="95" t="str">
        <f>IFERROR(__xludf.DUMMYFUNCTION("""COMPUTED_VALUE"""),"0")</f>
        <v>0</v>
      </c>
      <c r="O381" s="95"/>
      <c r="P381" s="95"/>
      <c r="Q381" s="95"/>
      <c r="R381" s="95"/>
      <c r="S381" s="95"/>
      <c r="T381" s="95"/>
      <c r="U381" s="95"/>
      <c r="V381" s="95"/>
      <c r="W381" s="95"/>
      <c r="X381" s="95"/>
      <c r="Y381" s="95"/>
      <c r="Z381" s="95"/>
      <c r="AA381" s="95"/>
      <c r="AB381" s="95"/>
      <c r="AC381" s="95"/>
    </row>
    <row r="382" ht="15.75" customHeight="1" spans="1:29">
      <c r="A382" s="95"/>
      <c r="B382" s="95"/>
      <c r="C382" s="102" t="str">
        <f>IFERROR(__xludf.DUMMYFUNCTION("""COMPUTED_VALUE"""),"ESCOLA MUNICIPAL UBALDINO FIGUEIROA")</f>
        <v>ESCOLA MUNICIPAL UBALDINO FIGUEIROA</v>
      </c>
      <c r="D382" s="95" t="str">
        <f>IFERROR(__xludf.DUMMYFUNCTION("""COMPUTED_VALUE"""),"INFANTIL 4")</f>
        <v>INFANTIL 4</v>
      </c>
      <c r="E382" s="95" t="str">
        <f>IFERROR(__xludf.DUMMYFUNCTION("""COMPUTED_VALUE"""),"Vespertino/Tarde")</f>
        <v>Vespertino/Tarde</v>
      </c>
      <c r="F382" s="95" t="str">
        <f>IFERROR(__xludf.DUMMYFUNCTION("""COMPUTED_VALUE"""),"Comum")</f>
        <v>Comum</v>
      </c>
      <c r="G382" s="95" t="str">
        <f>IFERROR(__xludf.DUMMYFUNCTION("""COMPUTED_VALUE"""),"1")</f>
        <v>1</v>
      </c>
      <c r="H382" s="95" t="str">
        <f>IFERROR(__xludf.DUMMYFUNCTION("""COMPUTED_VALUE"""),"26052384750")</f>
        <v>26052384750</v>
      </c>
      <c r="I382" s="103" t="str">
        <f>IFERROR(__xludf.DUMMYFUNCTION("""COMPUTED_VALUE"""),"19/05/2026 10:22:38")</f>
        <v>19/05/2026 10:22:38</v>
      </c>
      <c r="J382" s="95" t="str">
        <f>IFERROR(__xludf.DUMMYFUNCTION("""COMPUTED_VALUE"""),"Arthur Garcia de Medeiros")</f>
        <v>Arthur Garcia de Medeiros</v>
      </c>
      <c r="K382" s="95" t="str">
        <f>IFERROR(__xludf.DUMMYFUNCTION("""COMPUTED_VALUE"""),"112.037.111-23")</f>
        <v>112.037.111-23</v>
      </c>
      <c r="L382" s="104" t="str">
        <f>IFERROR(__xludf.DUMMYFUNCTION("""COMPUTED_VALUE"""),"16/06/2021")</f>
        <v>16/06/2021</v>
      </c>
      <c r="M382" s="106"/>
      <c r="N382" s="95" t="str">
        <f>IFERROR(__xludf.DUMMYFUNCTION("""COMPUTED_VALUE"""),"0")</f>
        <v>0</v>
      </c>
      <c r="O382" s="95"/>
      <c r="P382" s="95"/>
      <c r="Q382" s="95"/>
      <c r="R382" s="95"/>
      <c r="S382" s="95"/>
      <c r="T382" s="95"/>
      <c r="U382" s="95"/>
      <c r="V382" s="95"/>
      <c r="W382" s="95"/>
      <c r="X382" s="95"/>
      <c r="Y382" s="95"/>
      <c r="Z382" s="95"/>
      <c r="AA382" s="95"/>
      <c r="AB382" s="95"/>
      <c r="AC382" s="95"/>
    </row>
    <row r="383" ht="15.75" customHeight="1" spans="1:29">
      <c r="A383" s="95"/>
      <c r="B383" s="95"/>
      <c r="C383" s="102" t="str">
        <f>IFERROR(__xludf.DUMMYFUNCTION("""COMPUTED_VALUE"""),"ESCOLA MUNICIPAL UBALDINO FIGUEIROA")</f>
        <v>ESCOLA MUNICIPAL UBALDINO FIGUEIROA</v>
      </c>
      <c r="D383" s="95" t="str">
        <f>IFERROR(__xludf.DUMMYFUNCTION("""COMPUTED_VALUE"""),"INFANTIL 5")</f>
        <v>INFANTIL 5</v>
      </c>
      <c r="E383" s="95" t="str">
        <f>IFERROR(__xludf.DUMMYFUNCTION("""COMPUTED_VALUE"""),"Matutino/Manhã")</f>
        <v>Matutino/Manhã</v>
      </c>
      <c r="F383" s="95" t="str">
        <f>IFERROR(__xludf.DUMMYFUNCTION("""COMPUTED_VALUE"""),"Comum")</f>
        <v>Comum</v>
      </c>
      <c r="G383" s="95" t="str">
        <f>IFERROR(__xludf.DUMMYFUNCTION("""COMPUTED_VALUE"""),"1")</f>
        <v>1</v>
      </c>
      <c r="H383" s="95" t="str">
        <f>IFERROR(__xludf.DUMMYFUNCTION("""COMPUTED_VALUE"""),"26032233695")</f>
        <v>26032233695</v>
      </c>
      <c r="I383" s="103" t="str">
        <f>IFERROR(__xludf.DUMMYFUNCTION("""COMPUTED_VALUE"""),"01/03/2026 10:37:25")</f>
        <v>01/03/2026 10:37:25</v>
      </c>
      <c r="J383" s="95" t="str">
        <f>IFERROR(__xludf.DUMMYFUNCTION("""COMPUTED_VALUE"""),"LUANNY LIMA DE SOUZA")</f>
        <v>LUANNY LIMA DE SOUZA</v>
      </c>
      <c r="K383" s="95" t="str">
        <f>IFERROR(__xludf.DUMMYFUNCTION("""COMPUTED_VALUE"""),"174.547.894-98")</f>
        <v>174.547.894-98</v>
      </c>
      <c r="L383" s="104" t="str">
        <f>IFERROR(__xludf.DUMMYFUNCTION("""COMPUTED_VALUE"""),"02/09/2020")</f>
        <v>02/09/2020</v>
      </c>
      <c r="M383" s="104"/>
      <c r="N383" s="95" t="str">
        <f>IFERROR(__xludf.DUMMYFUNCTION("""COMPUTED_VALUE"""),"0")</f>
        <v>0</v>
      </c>
      <c r="O383" s="95"/>
      <c r="P383" s="95"/>
      <c r="Q383" s="95"/>
      <c r="R383" s="95"/>
      <c r="S383" s="95"/>
      <c r="T383" s="95"/>
      <c r="U383" s="95"/>
      <c r="V383" s="95"/>
      <c r="W383" s="95"/>
      <c r="X383" s="95"/>
      <c r="Y383" s="95"/>
      <c r="Z383" s="95"/>
      <c r="AA383" s="95"/>
      <c r="AB383" s="95"/>
      <c r="AC383" s="95"/>
    </row>
    <row r="384" ht="15.75" customHeight="1" spans="1:29">
      <c r="A384" s="95"/>
      <c r="B384" s="95"/>
      <c r="C384" s="102" t="str">
        <f>IFERROR(__xludf.DUMMYFUNCTION("""COMPUTED_VALUE"""),"ESCOLA MUNICIPAL UBALDINO FIGUEIROA")</f>
        <v>ESCOLA MUNICIPAL UBALDINO FIGUEIROA</v>
      </c>
      <c r="D384" s="95" t="str">
        <f>IFERROR(__xludf.DUMMYFUNCTION("""COMPUTED_VALUE"""),"INFANTIL 5")</f>
        <v>INFANTIL 5</v>
      </c>
      <c r="E384" s="95" t="str">
        <f>IFERROR(__xludf.DUMMYFUNCTION("""COMPUTED_VALUE"""),"Vespertino/Tarde")</f>
        <v>Vespertino/Tarde</v>
      </c>
      <c r="F384" s="95" t="str">
        <f>IFERROR(__xludf.DUMMYFUNCTION("""COMPUTED_VALUE"""),"Comum")</f>
        <v>Comum</v>
      </c>
      <c r="G384" s="95" t="str">
        <f>IFERROR(__xludf.DUMMYFUNCTION("""COMPUTED_VALUE"""),"1")</f>
        <v>1</v>
      </c>
      <c r="H384" s="95" t="str">
        <f>IFERROR(__xludf.DUMMYFUNCTION("""COMPUTED_VALUE"""),"26022860978")</f>
        <v>26022860978</v>
      </c>
      <c r="I384" s="103" t="str">
        <f>IFERROR(__xludf.DUMMYFUNCTION("""COMPUTED_VALUE"""),"10/02/2026 12:22:26")</f>
        <v>10/02/2026 12:22:26</v>
      </c>
      <c r="J384" s="95" t="str">
        <f>IFERROR(__xludf.DUMMYFUNCTION("""COMPUTED_VALUE"""),"HELOÍSA SOUZA MARTINS")</f>
        <v>HELOÍSA SOUZA MARTINS</v>
      </c>
      <c r="K384" s="95" t="str">
        <f>IFERROR(__xludf.DUMMYFUNCTION("""COMPUTED_VALUE"""),"583.863.548-79")</f>
        <v>583.863.548-79</v>
      </c>
      <c r="L384" s="104" t="str">
        <f>IFERROR(__xludf.DUMMYFUNCTION("""COMPUTED_VALUE"""),"02/04/2020")</f>
        <v>02/04/2020</v>
      </c>
      <c r="M384" s="106"/>
      <c r="N384" s="95" t="str">
        <f>IFERROR(__xludf.DUMMYFUNCTION("""COMPUTED_VALUE"""),"0")</f>
        <v>0</v>
      </c>
      <c r="O384" s="95"/>
      <c r="P384" s="95"/>
      <c r="Q384" s="95"/>
      <c r="R384" s="95"/>
      <c r="S384" s="95"/>
      <c r="T384" s="95"/>
      <c r="U384" s="95"/>
      <c r="V384" s="95"/>
      <c r="W384" s="95"/>
      <c r="X384" s="95"/>
      <c r="Y384" s="95"/>
      <c r="Z384" s="95"/>
      <c r="AA384" s="95"/>
      <c r="AB384" s="95"/>
      <c r="AC384" s="95"/>
    </row>
    <row r="385" ht="15.75" customHeight="1" spans="1:29">
      <c r="A385" s="95"/>
      <c r="B385" s="95"/>
      <c r="C385" s="102" t="str">
        <f>IFERROR(__xludf.DUMMYFUNCTION("""COMPUTED_VALUE"""),"ESCOLA MUNICIPAL UBALDINO FIGUEIROA")</f>
        <v>ESCOLA MUNICIPAL UBALDINO FIGUEIROA</v>
      </c>
      <c r="D385" s="95" t="str">
        <f>IFERROR(__xludf.DUMMYFUNCTION("""COMPUTED_VALUE"""),"INFANTIL 5")</f>
        <v>INFANTIL 5</v>
      </c>
      <c r="E385" s="95" t="str">
        <f>IFERROR(__xludf.DUMMYFUNCTION("""COMPUTED_VALUE"""),"Vespertino/Tarde")</f>
        <v>Vespertino/Tarde</v>
      </c>
      <c r="F385" s="95" t="str">
        <f>IFERROR(__xludf.DUMMYFUNCTION("""COMPUTED_VALUE"""),"Comum")</f>
        <v>Comum</v>
      </c>
      <c r="G385" s="95" t="str">
        <f>IFERROR(__xludf.DUMMYFUNCTION("""COMPUTED_VALUE"""),"2")</f>
        <v>2</v>
      </c>
      <c r="H385" s="95" t="str">
        <f>IFERROR(__xludf.DUMMYFUNCTION("""COMPUTED_VALUE"""),"26032038367")</f>
        <v>26032038367</v>
      </c>
      <c r="I385" s="103" t="str">
        <f>IFERROR(__xludf.DUMMYFUNCTION("""COMPUTED_VALUE"""),"12/03/2026 09:17:16")</f>
        <v>12/03/2026 09:17:16</v>
      </c>
      <c r="J385" s="95" t="str">
        <f>IFERROR(__xludf.DUMMYFUNCTION("""COMPUTED_VALUE"""),"REINALDO FRANCISCO DE ARAUJO")</f>
        <v>REINALDO FRANCISCO DE ARAUJO</v>
      </c>
      <c r="K385" s="95" t="str">
        <f>IFERROR(__xludf.DUMMYFUNCTION("""COMPUTED_VALUE"""),"172.647.064-43")</f>
        <v>172.647.064-43</v>
      </c>
      <c r="L385" s="104" t="str">
        <f>IFERROR(__xludf.DUMMYFUNCTION("""COMPUTED_VALUE"""),"29/06/2020")</f>
        <v>29/06/2020</v>
      </c>
      <c r="M385" s="104"/>
      <c r="N385" s="95" t="str">
        <f>IFERROR(__xludf.DUMMYFUNCTION("""COMPUTED_VALUE"""),"0")</f>
        <v>0</v>
      </c>
      <c r="O385" s="95"/>
      <c r="P385" s="95"/>
      <c r="Q385" s="95"/>
      <c r="R385" s="95"/>
      <c r="S385" s="95"/>
      <c r="T385" s="95"/>
      <c r="U385" s="95"/>
      <c r="V385" s="95"/>
      <c r="W385" s="95"/>
      <c r="X385" s="95"/>
      <c r="Y385" s="95"/>
      <c r="Z385" s="95"/>
      <c r="AA385" s="95"/>
      <c r="AB385" s="95"/>
      <c r="AC385" s="95"/>
    </row>
    <row r="386" ht="15.75" customHeight="1" spans="1:29">
      <c r="A386" s="95"/>
      <c r="B386" s="95"/>
      <c r="C386" s="102" t="str">
        <f>IFERROR(__xludf.DUMMYFUNCTION("""COMPUTED_VALUE"""),"ESCOLA MUNICIPAL UBALDINO FIGUEIROA")</f>
        <v>ESCOLA MUNICIPAL UBALDINO FIGUEIROA</v>
      </c>
      <c r="D386" s="95" t="str">
        <f>IFERROR(__xludf.DUMMYFUNCTION("""COMPUTED_VALUE"""),"INFANTIL 5")</f>
        <v>INFANTIL 5</v>
      </c>
      <c r="E386" s="95" t="str">
        <f>IFERROR(__xludf.DUMMYFUNCTION("""COMPUTED_VALUE"""),"Vespertino/Tarde")</f>
        <v>Vespertino/Tarde</v>
      </c>
      <c r="F386" s="95" t="str">
        <f>IFERROR(__xludf.DUMMYFUNCTION("""COMPUTED_VALUE"""),"Comum")</f>
        <v>Comum</v>
      </c>
      <c r="G386" s="95" t="str">
        <f>IFERROR(__xludf.DUMMYFUNCTION("""COMPUTED_VALUE"""),"3")</f>
        <v>3</v>
      </c>
      <c r="H386" s="95" t="str">
        <f>IFERROR(__xludf.DUMMYFUNCTION("""COMPUTED_VALUE"""),"26042900393")</f>
        <v>26042900393</v>
      </c>
      <c r="I386" s="103" t="str">
        <f>IFERROR(__xludf.DUMMYFUNCTION("""COMPUTED_VALUE"""),"08/04/2026 11:52:08")</f>
        <v>08/04/2026 11:52:08</v>
      </c>
      <c r="J386" s="95" t="str">
        <f>IFERROR(__xludf.DUMMYFUNCTION("""COMPUTED_VALUE"""),"GUSTAVO MOES DE LIMA FILHO")</f>
        <v>GUSTAVO MOES DE LIMA FILHO</v>
      </c>
      <c r="K386" s="95" t="str">
        <f>IFERROR(__xludf.DUMMYFUNCTION("""COMPUTED_VALUE"""),"174.929.864-32")</f>
        <v>174.929.864-32</v>
      </c>
      <c r="L386" s="104" t="str">
        <f>IFERROR(__xludf.DUMMYFUNCTION("""COMPUTED_VALUE"""),"28/12/2020")</f>
        <v>28/12/2020</v>
      </c>
      <c r="M386" s="106"/>
      <c r="N386" s="95" t="str">
        <f>IFERROR(__xludf.DUMMYFUNCTION("""COMPUTED_VALUE"""),"0")</f>
        <v>0</v>
      </c>
      <c r="O386" s="95"/>
      <c r="P386" s="95"/>
      <c r="Q386" s="95"/>
      <c r="R386" s="95"/>
      <c r="S386" s="95"/>
      <c r="T386" s="95"/>
      <c r="U386" s="95"/>
      <c r="V386" s="95"/>
      <c r="W386" s="95"/>
      <c r="X386" s="95"/>
      <c r="Y386" s="95"/>
      <c r="Z386" s="95"/>
      <c r="AA386" s="95"/>
      <c r="AB386" s="95"/>
      <c r="AC386" s="95"/>
    </row>
    <row r="387" ht="15.75" customHeight="1" spans="1:29">
      <c r="A387" s="95"/>
      <c r="B387" s="95"/>
      <c r="C387" s="102" t="str">
        <f>IFERROR(__xludf.DUMMYFUNCTION("""COMPUTED_VALUE"""),"ESCOLA MUNICIPAL WALFRIDO COELHO")</f>
        <v>ESCOLA MUNICIPAL WALFRIDO COELHO</v>
      </c>
      <c r="D387" s="95" t="str">
        <f>IFERROR(__xludf.DUMMYFUNCTION("""COMPUTED_VALUE"""),"INFANTIL 5")</f>
        <v>INFANTIL 5</v>
      </c>
      <c r="E387" s="95" t="str">
        <f>IFERROR(__xludf.DUMMYFUNCTION("""COMPUTED_VALUE"""),"Matutino/Manhã")</f>
        <v>Matutino/Manhã</v>
      </c>
      <c r="F387" s="95" t="str">
        <f>IFERROR(__xludf.DUMMYFUNCTION("""COMPUTED_VALUE"""),"Comum")</f>
        <v>Comum</v>
      </c>
      <c r="G387" s="95" t="str">
        <f>IFERROR(__xludf.DUMMYFUNCTION("""COMPUTED_VALUE"""),"1")</f>
        <v>1</v>
      </c>
      <c r="H387" s="95" t="str">
        <f>IFERROR(__xludf.DUMMYFUNCTION("""COMPUTED_VALUE"""),"26032356222")</f>
        <v>26032356222</v>
      </c>
      <c r="I387" s="103" t="str">
        <f>IFERROR(__xludf.DUMMYFUNCTION("""COMPUTED_VALUE"""),"04/03/2026 10:45:26")</f>
        <v>04/03/2026 10:45:26</v>
      </c>
      <c r="J387" s="95" t="str">
        <f>IFERROR(__xludf.DUMMYFUNCTION("""COMPUTED_VALUE"""),"LUNA NATALIA SOUZA MORAIS")</f>
        <v>LUNA NATALIA SOUZA MORAIS</v>
      </c>
      <c r="K387" s="95" t="str">
        <f>IFERROR(__xludf.DUMMYFUNCTION("""COMPUTED_VALUE"""),"174.242.474-09")</f>
        <v>174.242.474-09</v>
      </c>
      <c r="L387" s="106" t="str">
        <f>IFERROR(__xludf.DUMMYFUNCTION("""COMPUTED_VALUE"""),"18/11/2020")</f>
        <v>18/11/2020</v>
      </c>
      <c r="M387" s="104"/>
      <c r="N387" s="95" t="str">
        <f>IFERROR(__xludf.DUMMYFUNCTION("""COMPUTED_VALUE"""),"0")</f>
        <v>0</v>
      </c>
      <c r="O387" s="95"/>
      <c r="P387" s="95"/>
      <c r="Q387" s="95"/>
      <c r="R387" s="95"/>
      <c r="S387" s="95"/>
      <c r="T387" s="95"/>
      <c r="U387" s="95"/>
      <c r="V387" s="95"/>
      <c r="W387" s="95"/>
      <c r="X387" s="95"/>
      <c r="Y387" s="95"/>
      <c r="Z387" s="95"/>
      <c r="AA387" s="95"/>
      <c r="AB387" s="95"/>
      <c r="AC387" s="95"/>
    </row>
    <row r="388" ht="15.75" customHeight="1" spans="1:29">
      <c r="A388" s="95"/>
      <c r="B388" s="95"/>
      <c r="C388" s="102"/>
      <c r="D388" s="95"/>
      <c r="E388" s="95"/>
      <c r="F388" s="95"/>
      <c r="G388" s="95"/>
      <c r="H388" s="95"/>
      <c r="I388" s="105"/>
      <c r="J388" s="95"/>
      <c r="K388" s="95"/>
      <c r="L388" s="106"/>
      <c r="M388" s="106"/>
      <c r="N388" s="95"/>
      <c r="O388" s="95"/>
      <c r="P388" s="95"/>
      <c r="Q388" s="95"/>
      <c r="R388" s="95"/>
      <c r="S388" s="95"/>
      <c r="T388" s="95"/>
      <c r="U388" s="95"/>
      <c r="V388" s="95"/>
      <c r="W388" s="95"/>
      <c r="X388" s="95"/>
      <c r="Y388" s="95"/>
      <c r="Z388" s="95"/>
      <c r="AA388" s="95"/>
      <c r="AB388" s="95"/>
      <c r="AC388" s="95"/>
    </row>
    <row r="389" ht="15.75" customHeight="1" spans="1:29">
      <c r="A389" s="95"/>
      <c r="B389" s="95"/>
      <c r="C389" s="102"/>
      <c r="D389" s="95"/>
      <c r="E389" s="95"/>
      <c r="F389" s="95"/>
      <c r="G389" s="95"/>
      <c r="H389" s="95"/>
      <c r="I389" s="105"/>
      <c r="J389" s="95"/>
      <c r="K389" s="95"/>
      <c r="L389" s="104"/>
      <c r="M389" s="104"/>
      <c r="N389" s="95"/>
      <c r="O389" s="95"/>
      <c r="P389" s="95"/>
      <c r="Q389" s="95"/>
      <c r="R389" s="95"/>
      <c r="S389" s="95"/>
      <c r="T389" s="95"/>
      <c r="U389" s="95"/>
      <c r="V389" s="95"/>
      <c r="W389" s="95"/>
      <c r="X389" s="95"/>
      <c r="Y389" s="95"/>
      <c r="Z389" s="95"/>
      <c r="AA389" s="95"/>
      <c r="AB389" s="95"/>
      <c r="AC389" s="95"/>
    </row>
    <row r="390" ht="15.75" customHeight="1" spans="1:29">
      <c r="A390" s="95"/>
      <c r="B390" s="95"/>
      <c r="C390" s="102"/>
      <c r="D390" s="95"/>
      <c r="E390" s="95"/>
      <c r="F390" s="95"/>
      <c r="G390" s="95"/>
      <c r="H390" s="95"/>
      <c r="I390" s="105"/>
      <c r="J390" s="95"/>
      <c r="K390" s="95"/>
      <c r="L390" s="104"/>
      <c r="M390" s="106"/>
      <c r="N390" s="95"/>
      <c r="O390" s="95"/>
      <c r="P390" s="95"/>
      <c r="Q390" s="95"/>
      <c r="R390" s="95"/>
      <c r="S390" s="95"/>
      <c r="T390" s="95"/>
      <c r="U390" s="95"/>
      <c r="V390" s="95"/>
      <c r="W390" s="95"/>
      <c r="X390" s="95"/>
      <c r="Y390" s="95"/>
      <c r="Z390" s="95"/>
      <c r="AA390" s="95"/>
      <c r="AB390" s="95"/>
      <c r="AC390" s="95"/>
    </row>
    <row r="391" ht="15.75" customHeight="1" spans="1:29">
      <c r="A391" s="95"/>
      <c r="B391" s="95"/>
      <c r="C391" s="102"/>
      <c r="D391" s="95"/>
      <c r="E391" s="95"/>
      <c r="F391" s="95"/>
      <c r="G391" s="95"/>
      <c r="H391" s="95"/>
      <c r="I391" s="105"/>
      <c r="J391" s="95"/>
      <c r="K391" s="95"/>
      <c r="L391" s="106"/>
      <c r="M391" s="106"/>
      <c r="N391" s="95"/>
      <c r="O391" s="95"/>
      <c r="P391" s="95"/>
      <c r="Q391" s="95"/>
      <c r="R391" s="95"/>
      <c r="S391" s="95"/>
      <c r="T391" s="95"/>
      <c r="U391" s="95"/>
      <c r="V391" s="95"/>
      <c r="W391" s="95"/>
      <c r="X391" s="95"/>
      <c r="Y391" s="95"/>
      <c r="Z391" s="95"/>
      <c r="AA391" s="95"/>
      <c r="AB391" s="95"/>
      <c r="AC391" s="95"/>
    </row>
    <row r="392" ht="15.75" customHeight="1" spans="1:29">
      <c r="A392" s="95"/>
      <c r="B392" s="95"/>
      <c r="C392" s="102"/>
      <c r="D392" s="95"/>
      <c r="E392" s="95"/>
      <c r="F392" s="95"/>
      <c r="G392" s="95"/>
      <c r="H392" s="95"/>
      <c r="I392" s="105"/>
      <c r="J392" s="95"/>
      <c r="K392" s="95"/>
      <c r="L392" s="104"/>
      <c r="M392" s="104"/>
      <c r="N392" s="95"/>
      <c r="O392" s="95"/>
      <c r="P392" s="95"/>
      <c r="Q392" s="95"/>
      <c r="R392" s="95"/>
      <c r="S392" s="95"/>
      <c r="T392" s="95"/>
      <c r="U392" s="95"/>
      <c r="V392" s="95"/>
      <c r="W392" s="95"/>
      <c r="X392" s="95"/>
      <c r="Y392" s="95"/>
      <c r="Z392" s="95"/>
      <c r="AA392" s="95"/>
      <c r="AB392" s="95"/>
      <c r="AC392" s="95"/>
    </row>
    <row r="393" ht="15.75" customHeight="1" spans="1:29">
      <c r="A393" s="95"/>
      <c r="B393" s="95"/>
      <c r="C393" s="102"/>
      <c r="D393" s="95"/>
      <c r="E393" s="95"/>
      <c r="F393" s="95"/>
      <c r="G393" s="95"/>
      <c r="H393" s="95"/>
      <c r="I393" s="105"/>
      <c r="J393" s="95"/>
      <c r="K393" s="95"/>
      <c r="L393" s="104"/>
      <c r="M393" s="104"/>
      <c r="N393" s="95"/>
      <c r="O393" s="95"/>
      <c r="P393" s="95"/>
      <c r="Q393" s="95"/>
      <c r="R393" s="95"/>
      <c r="S393" s="95"/>
      <c r="T393" s="95"/>
      <c r="U393" s="95"/>
      <c r="V393" s="95"/>
      <c r="W393" s="95"/>
      <c r="X393" s="95"/>
      <c r="Y393" s="95"/>
      <c r="Z393" s="95"/>
      <c r="AA393" s="95"/>
      <c r="AB393" s="95"/>
      <c r="AC393" s="95"/>
    </row>
    <row r="394" ht="15.75" customHeight="1" spans="1:29">
      <c r="A394" s="95"/>
      <c r="B394" s="95"/>
      <c r="C394" s="102"/>
      <c r="D394" s="95"/>
      <c r="E394" s="95"/>
      <c r="F394" s="95"/>
      <c r="G394" s="95"/>
      <c r="H394" s="95"/>
      <c r="I394" s="105"/>
      <c r="J394" s="95"/>
      <c r="K394" s="95"/>
      <c r="L394" s="104"/>
      <c r="M394" s="104"/>
      <c r="N394" s="95"/>
      <c r="O394" s="95"/>
      <c r="P394" s="95"/>
      <c r="Q394" s="95"/>
      <c r="R394" s="95"/>
      <c r="S394" s="95"/>
      <c r="T394" s="95"/>
      <c r="U394" s="95"/>
      <c r="V394" s="95"/>
      <c r="W394" s="95"/>
      <c r="X394" s="95"/>
      <c r="Y394" s="95"/>
      <c r="Z394" s="95"/>
      <c r="AA394" s="95"/>
      <c r="AB394" s="95"/>
      <c r="AC394" s="95"/>
    </row>
    <row r="395" ht="15.75" customHeight="1" spans="1:29">
      <c r="A395" s="95"/>
      <c r="B395" s="95"/>
      <c r="C395" s="102"/>
      <c r="D395" s="95"/>
      <c r="E395" s="95"/>
      <c r="F395" s="95"/>
      <c r="G395" s="95"/>
      <c r="H395" s="95"/>
      <c r="I395" s="105"/>
      <c r="J395" s="95"/>
      <c r="K395" s="95"/>
      <c r="L395" s="104"/>
      <c r="M395" s="104"/>
      <c r="N395" s="95"/>
      <c r="O395" s="95"/>
      <c r="P395" s="95"/>
      <c r="Q395" s="95"/>
      <c r="R395" s="95"/>
      <c r="S395" s="95"/>
      <c r="T395" s="95"/>
      <c r="U395" s="95"/>
      <c r="V395" s="95"/>
      <c r="W395" s="95"/>
      <c r="X395" s="95"/>
      <c r="Y395" s="95"/>
      <c r="Z395" s="95"/>
      <c r="AA395" s="95"/>
      <c r="AB395" s="95"/>
      <c r="AC395" s="95"/>
    </row>
    <row r="396" ht="15.75" customHeight="1" spans="1:29">
      <c r="A396" s="95"/>
      <c r="B396" s="95"/>
      <c r="C396" s="102"/>
      <c r="D396" s="95"/>
      <c r="E396" s="95"/>
      <c r="F396" s="95"/>
      <c r="G396" s="95"/>
      <c r="H396" s="95"/>
      <c r="I396" s="105"/>
      <c r="J396" s="95"/>
      <c r="K396" s="95"/>
      <c r="L396" s="106"/>
      <c r="M396" s="104"/>
      <c r="N396" s="95"/>
      <c r="O396" s="95"/>
      <c r="P396" s="95"/>
      <c r="Q396" s="95"/>
      <c r="R396" s="95"/>
      <c r="S396" s="95"/>
      <c r="T396" s="95"/>
      <c r="U396" s="95"/>
      <c r="V396" s="95"/>
      <c r="W396" s="95"/>
      <c r="X396" s="95"/>
      <c r="Y396" s="95"/>
      <c r="Z396" s="95"/>
      <c r="AA396" s="95"/>
      <c r="AB396" s="95"/>
      <c r="AC396" s="95"/>
    </row>
    <row r="397" ht="15.75" customHeight="1" spans="1:29">
      <c r="A397" s="95"/>
      <c r="B397" s="95"/>
      <c r="C397" s="102"/>
      <c r="D397" s="95"/>
      <c r="E397" s="95"/>
      <c r="F397" s="95"/>
      <c r="G397" s="95"/>
      <c r="H397" s="95"/>
      <c r="I397" s="105"/>
      <c r="J397" s="95"/>
      <c r="K397" s="95"/>
      <c r="L397" s="104"/>
      <c r="M397" s="104"/>
      <c r="N397" s="95"/>
      <c r="O397" s="95"/>
      <c r="P397" s="95"/>
      <c r="Q397" s="95"/>
      <c r="R397" s="95"/>
      <c r="S397" s="95"/>
      <c r="T397" s="95"/>
      <c r="U397" s="95"/>
      <c r="V397" s="95"/>
      <c r="W397" s="95"/>
      <c r="X397" s="95"/>
      <c r="Y397" s="95"/>
      <c r="Z397" s="95"/>
      <c r="AA397" s="95"/>
      <c r="AB397" s="95"/>
      <c r="AC397" s="95"/>
    </row>
    <row r="398" ht="15.75" customHeight="1" spans="1:29">
      <c r="A398" s="95"/>
      <c r="B398" s="95"/>
      <c r="C398" s="102"/>
      <c r="D398" s="95"/>
      <c r="E398" s="95"/>
      <c r="F398" s="95"/>
      <c r="G398" s="95"/>
      <c r="H398" s="95"/>
      <c r="I398" s="105"/>
      <c r="J398" s="95"/>
      <c r="K398" s="95"/>
      <c r="L398" s="104"/>
      <c r="M398" s="104"/>
      <c r="N398" s="95"/>
      <c r="O398" s="95"/>
      <c r="P398" s="95"/>
      <c r="Q398" s="95"/>
      <c r="R398" s="95"/>
      <c r="S398" s="95"/>
      <c r="T398" s="95"/>
      <c r="U398" s="95"/>
      <c r="V398" s="95"/>
      <c r="W398" s="95"/>
      <c r="X398" s="95"/>
      <c r="Y398" s="95"/>
      <c r="Z398" s="95"/>
      <c r="AA398" s="95"/>
      <c r="AB398" s="95"/>
      <c r="AC398" s="95"/>
    </row>
    <row r="399" ht="15.75" customHeight="1" spans="1:29">
      <c r="A399" s="95"/>
      <c r="B399" s="95"/>
      <c r="C399" s="102"/>
      <c r="D399" s="95"/>
      <c r="E399" s="95"/>
      <c r="F399" s="95"/>
      <c r="G399" s="95"/>
      <c r="H399" s="95"/>
      <c r="I399" s="105"/>
      <c r="J399" s="95"/>
      <c r="K399" s="95"/>
      <c r="L399" s="104"/>
      <c r="M399" s="104"/>
      <c r="N399" s="95"/>
      <c r="O399" s="95"/>
      <c r="P399" s="95"/>
      <c r="Q399" s="95"/>
      <c r="R399" s="95"/>
      <c r="S399" s="95"/>
      <c r="T399" s="95"/>
      <c r="U399" s="95"/>
      <c r="V399" s="95"/>
      <c r="W399" s="95"/>
      <c r="X399" s="95"/>
      <c r="Y399" s="95"/>
      <c r="Z399" s="95"/>
      <c r="AA399" s="95"/>
      <c r="AB399" s="95"/>
      <c r="AC399" s="95"/>
    </row>
    <row r="400" ht="15.75" customHeight="1" spans="1:29">
      <c r="A400" s="95"/>
      <c r="B400" s="95"/>
      <c r="C400" s="102"/>
      <c r="D400" s="95"/>
      <c r="E400" s="95"/>
      <c r="F400" s="95"/>
      <c r="G400" s="95"/>
      <c r="H400" s="95"/>
      <c r="I400" s="105"/>
      <c r="J400" s="95"/>
      <c r="K400" s="95"/>
      <c r="L400" s="104"/>
      <c r="M400" s="104"/>
      <c r="N400" s="95"/>
      <c r="O400" s="95"/>
      <c r="P400" s="95"/>
      <c r="Q400" s="95"/>
      <c r="R400" s="95"/>
      <c r="S400" s="95"/>
      <c r="T400" s="95"/>
      <c r="U400" s="95"/>
      <c r="V400" s="95"/>
      <c r="W400" s="95"/>
      <c r="X400" s="95"/>
      <c r="Y400" s="95"/>
      <c r="Z400" s="95"/>
      <c r="AA400" s="95"/>
      <c r="AB400" s="95"/>
      <c r="AC400" s="95"/>
    </row>
    <row r="401" ht="15.75" customHeight="1" spans="1:29">
      <c r="A401" s="95"/>
      <c r="B401" s="95"/>
      <c r="C401" s="102"/>
      <c r="D401" s="95"/>
      <c r="E401" s="95"/>
      <c r="F401" s="95"/>
      <c r="G401" s="95"/>
      <c r="H401" s="95"/>
      <c r="I401" s="105"/>
      <c r="J401" s="95"/>
      <c r="K401" s="95"/>
      <c r="L401" s="106"/>
      <c r="M401" s="106"/>
      <c r="N401" s="95"/>
      <c r="O401" s="95"/>
      <c r="P401" s="95"/>
      <c r="Q401" s="95"/>
      <c r="R401" s="95"/>
      <c r="S401" s="95"/>
      <c r="T401" s="95"/>
      <c r="U401" s="95"/>
      <c r="V401" s="95"/>
      <c r="W401" s="95"/>
      <c r="X401" s="95"/>
      <c r="Y401" s="95"/>
      <c r="Z401" s="95"/>
      <c r="AA401" s="95"/>
      <c r="AB401" s="95"/>
      <c r="AC401" s="95"/>
    </row>
    <row r="402" ht="15.75" customHeight="1" spans="1:29">
      <c r="A402" s="95"/>
      <c r="B402" s="95"/>
      <c r="C402" s="102"/>
      <c r="D402" s="95"/>
      <c r="E402" s="95"/>
      <c r="F402" s="95"/>
      <c r="G402" s="95"/>
      <c r="H402" s="95"/>
      <c r="I402" s="105"/>
      <c r="J402" s="95"/>
      <c r="K402" s="95"/>
      <c r="L402" s="104"/>
      <c r="M402" s="104"/>
      <c r="N402" s="95"/>
      <c r="O402" s="95"/>
      <c r="P402" s="95"/>
      <c r="Q402" s="95"/>
      <c r="R402" s="95"/>
      <c r="S402" s="95"/>
      <c r="T402" s="95"/>
      <c r="U402" s="95"/>
      <c r="V402" s="95"/>
      <c r="W402" s="95"/>
      <c r="X402" s="95"/>
      <c r="Y402" s="95"/>
      <c r="Z402" s="95"/>
      <c r="AA402" s="95"/>
      <c r="AB402" s="95"/>
      <c r="AC402" s="95"/>
    </row>
    <row r="403" ht="15.75" customHeight="1" spans="1:29">
      <c r="A403" s="95"/>
      <c r="B403" s="95"/>
      <c r="C403" s="102"/>
      <c r="D403" s="95"/>
      <c r="E403" s="95"/>
      <c r="F403" s="95"/>
      <c r="G403" s="95"/>
      <c r="H403" s="95"/>
      <c r="I403" s="105"/>
      <c r="J403" s="95"/>
      <c r="K403" s="95"/>
      <c r="L403" s="104"/>
      <c r="M403" s="104"/>
      <c r="N403" s="95"/>
      <c r="O403" s="95"/>
      <c r="P403" s="95"/>
      <c r="Q403" s="95"/>
      <c r="R403" s="95"/>
      <c r="S403" s="95"/>
      <c r="T403" s="95"/>
      <c r="U403" s="95"/>
      <c r="V403" s="95"/>
      <c r="W403" s="95"/>
      <c r="X403" s="95"/>
      <c r="Y403" s="95"/>
      <c r="Z403" s="95"/>
      <c r="AA403" s="95"/>
      <c r="AB403" s="95"/>
      <c r="AC403" s="95"/>
    </row>
    <row r="404" ht="15.75" customHeight="1" spans="1:29">
      <c r="A404" s="95"/>
      <c r="B404" s="95"/>
      <c r="C404" s="102"/>
      <c r="D404" s="95"/>
      <c r="E404" s="95"/>
      <c r="F404" s="95"/>
      <c r="G404" s="95"/>
      <c r="H404" s="95"/>
      <c r="I404" s="103"/>
      <c r="J404" s="95"/>
      <c r="K404" s="95"/>
      <c r="L404" s="104"/>
      <c r="M404" s="104"/>
      <c r="N404" s="95"/>
      <c r="O404" s="95"/>
      <c r="P404" s="95"/>
      <c r="Q404" s="95"/>
      <c r="R404" s="95"/>
      <c r="S404" s="95"/>
      <c r="T404" s="95"/>
      <c r="U404" s="95"/>
      <c r="V404" s="95"/>
      <c r="W404" s="95"/>
      <c r="X404" s="95"/>
      <c r="Y404" s="95"/>
      <c r="Z404" s="95"/>
      <c r="AA404" s="95"/>
      <c r="AB404" s="95"/>
      <c r="AC404" s="95"/>
    </row>
    <row r="405" ht="15.75" customHeight="1" spans="1:29">
      <c r="A405" s="95"/>
      <c r="B405" s="95"/>
      <c r="C405" s="102"/>
      <c r="D405" s="95"/>
      <c r="E405" s="95"/>
      <c r="F405" s="95"/>
      <c r="G405" s="95"/>
      <c r="H405" s="95"/>
      <c r="I405" s="105"/>
      <c r="J405" s="95"/>
      <c r="K405" s="95"/>
      <c r="L405" s="104"/>
      <c r="M405" s="104"/>
      <c r="N405" s="95"/>
      <c r="O405" s="95"/>
      <c r="P405" s="95"/>
      <c r="Q405" s="95"/>
      <c r="R405" s="95"/>
      <c r="S405" s="95"/>
      <c r="T405" s="95"/>
      <c r="U405" s="95"/>
      <c r="V405" s="95"/>
      <c r="W405" s="95"/>
      <c r="X405" s="95"/>
      <c r="Y405" s="95"/>
      <c r="Z405" s="95"/>
      <c r="AA405" s="95"/>
      <c r="AB405" s="95"/>
      <c r="AC405" s="95"/>
    </row>
    <row r="406" ht="15.75" customHeight="1" spans="1:29">
      <c r="A406" s="95"/>
      <c r="B406" s="95"/>
      <c r="C406" s="102"/>
      <c r="D406" s="95"/>
      <c r="E406" s="95"/>
      <c r="F406" s="95"/>
      <c r="G406" s="95"/>
      <c r="H406" s="95"/>
      <c r="I406" s="105"/>
      <c r="J406" s="95"/>
      <c r="K406" s="95"/>
      <c r="L406" s="104"/>
      <c r="M406" s="104"/>
      <c r="N406" s="95"/>
      <c r="O406" s="95"/>
      <c r="P406" s="95"/>
      <c r="Q406" s="95"/>
      <c r="R406" s="95"/>
      <c r="S406" s="95"/>
      <c r="T406" s="95"/>
      <c r="U406" s="95"/>
      <c r="V406" s="95"/>
      <c r="W406" s="95"/>
      <c r="X406" s="95"/>
      <c r="Y406" s="95"/>
      <c r="Z406" s="95"/>
      <c r="AA406" s="95"/>
      <c r="AB406" s="95"/>
      <c r="AC406" s="95"/>
    </row>
    <row r="407" ht="15.75" customHeight="1" spans="1:29">
      <c r="A407" s="95"/>
      <c r="B407" s="95"/>
      <c r="C407" s="102"/>
      <c r="D407" s="95"/>
      <c r="E407" s="95"/>
      <c r="F407" s="95"/>
      <c r="G407" s="95"/>
      <c r="H407" s="95"/>
      <c r="I407" s="105"/>
      <c r="J407" s="95"/>
      <c r="K407" s="95"/>
      <c r="L407" s="104"/>
      <c r="M407" s="104"/>
      <c r="N407" s="95"/>
      <c r="O407" s="95"/>
      <c r="P407" s="95"/>
      <c r="Q407" s="95"/>
      <c r="R407" s="95"/>
      <c r="S407" s="95"/>
      <c r="T407" s="95"/>
      <c r="U407" s="95"/>
      <c r="V407" s="95"/>
      <c r="W407" s="95"/>
      <c r="X407" s="95"/>
      <c r="Y407" s="95"/>
      <c r="Z407" s="95"/>
      <c r="AA407" s="95"/>
      <c r="AB407" s="95"/>
      <c r="AC407" s="95"/>
    </row>
    <row r="408" ht="15.75" customHeight="1" spans="1:29">
      <c r="A408" s="95"/>
      <c r="B408" s="95"/>
      <c r="C408" s="102"/>
      <c r="D408" s="95"/>
      <c r="E408" s="95"/>
      <c r="F408" s="95"/>
      <c r="G408" s="95"/>
      <c r="H408" s="95"/>
      <c r="I408" s="103"/>
      <c r="J408" s="95"/>
      <c r="K408" s="95"/>
      <c r="L408" s="104"/>
      <c r="M408" s="104"/>
      <c r="N408" s="95"/>
      <c r="O408" s="95"/>
      <c r="P408" s="95"/>
      <c r="Q408" s="95"/>
      <c r="R408" s="95"/>
      <c r="S408" s="95"/>
      <c r="T408" s="95"/>
      <c r="U408" s="95"/>
      <c r="V408" s="95"/>
      <c r="W408" s="95"/>
      <c r="X408" s="95"/>
      <c r="Y408" s="95"/>
      <c r="Z408" s="95"/>
      <c r="AA408" s="95"/>
      <c r="AB408" s="95"/>
      <c r="AC408" s="95"/>
    </row>
    <row r="409" ht="15.75" customHeight="1" spans="1:29">
      <c r="A409" s="95"/>
      <c r="B409" s="95"/>
      <c r="C409" s="102"/>
      <c r="D409" s="95"/>
      <c r="E409" s="95"/>
      <c r="F409" s="95"/>
      <c r="G409" s="95"/>
      <c r="H409" s="95"/>
      <c r="I409" s="103"/>
      <c r="J409" s="95"/>
      <c r="K409" s="95"/>
      <c r="L409" s="104"/>
      <c r="M409" s="104"/>
      <c r="N409" s="95"/>
      <c r="O409" s="95"/>
      <c r="P409" s="95"/>
      <c r="Q409" s="95"/>
      <c r="R409" s="95"/>
      <c r="S409" s="95"/>
      <c r="T409" s="95"/>
      <c r="U409" s="95"/>
      <c r="V409" s="95"/>
      <c r="W409" s="95"/>
      <c r="X409" s="95"/>
      <c r="Y409" s="95"/>
      <c r="Z409" s="95"/>
      <c r="AA409" s="95"/>
      <c r="AB409" s="95"/>
      <c r="AC409" s="95"/>
    </row>
    <row r="410" ht="15.75" customHeight="1" spans="1:29">
      <c r="A410" s="95"/>
      <c r="B410" s="95"/>
      <c r="C410" s="102"/>
      <c r="D410" s="95"/>
      <c r="E410" s="95"/>
      <c r="F410" s="95"/>
      <c r="G410" s="95"/>
      <c r="H410" s="95"/>
      <c r="I410" s="103"/>
      <c r="J410" s="95"/>
      <c r="K410" s="95"/>
      <c r="L410" s="104"/>
      <c r="M410" s="104"/>
      <c r="N410" s="95"/>
      <c r="O410" s="95"/>
      <c r="P410" s="95"/>
      <c r="Q410" s="95"/>
      <c r="R410" s="95"/>
      <c r="S410" s="95"/>
      <c r="T410" s="95"/>
      <c r="U410" s="95"/>
      <c r="V410" s="95"/>
      <c r="W410" s="95"/>
      <c r="X410" s="95"/>
      <c r="Y410" s="95"/>
      <c r="Z410" s="95"/>
      <c r="AA410" s="95"/>
      <c r="AB410" s="95"/>
      <c r="AC410" s="95"/>
    </row>
    <row r="411" ht="15.75" customHeight="1" spans="1:29">
      <c r="A411" s="95"/>
      <c r="B411" s="95"/>
      <c r="C411" s="102"/>
      <c r="D411" s="95"/>
      <c r="E411" s="95"/>
      <c r="F411" s="95"/>
      <c r="G411" s="95"/>
      <c r="H411" s="95"/>
      <c r="I411" s="103"/>
      <c r="J411" s="95"/>
      <c r="K411" s="95"/>
      <c r="L411" s="104"/>
      <c r="M411" s="104"/>
      <c r="N411" s="95"/>
      <c r="O411" s="95"/>
      <c r="P411" s="95"/>
      <c r="Q411" s="95"/>
      <c r="R411" s="95"/>
      <c r="S411" s="95"/>
      <c r="T411" s="95"/>
      <c r="U411" s="95"/>
      <c r="V411" s="95"/>
      <c r="W411" s="95"/>
      <c r="X411" s="95"/>
      <c r="Y411" s="95"/>
      <c r="Z411" s="95"/>
      <c r="AA411" s="95"/>
      <c r="AB411" s="95"/>
      <c r="AC411" s="95"/>
    </row>
    <row r="412" ht="15.75" customHeight="1" spans="1:29">
      <c r="A412" s="95"/>
      <c r="B412" s="95"/>
      <c r="C412" s="102"/>
      <c r="D412" s="95"/>
      <c r="E412" s="95"/>
      <c r="F412" s="95"/>
      <c r="G412" s="95"/>
      <c r="H412" s="95"/>
      <c r="I412" s="103"/>
      <c r="J412" s="95"/>
      <c r="K412" s="95"/>
      <c r="L412" s="104"/>
      <c r="M412" s="104"/>
      <c r="N412" s="95"/>
      <c r="O412" s="95"/>
      <c r="P412" s="95"/>
      <c r="Q412" s="95"/>
      <c r="R412" s="95"/>
      <c r="S412" s="95"/>
      <c r="T412" s="95"/>
      <c r="U412" s="95"/>
      <c r="V412" s="95"/>
      <c r="W412" s="95"/>
      <c r="X412" s="95"/>
      <c r="Y412" s="95"/>
      <c r="Z412" s="95"/>
      <c r="AA412" s="95"/>
      <c r="AB412" s="95"/>
      <c r="AC412" s="95"/>
    </row>
    <row r="413" ht="15.75" customHeight="1" spans="1:29">
      <c r="A413" s="95"/>
      <c r="B413" s="95"/>
      <c r="C413" s="102"/>
      <c r="D413" s="95"/>
      <c r="E413" s="95"/>
      <c r="F413" s="95"/>
      <c r="G413" s="95"/>
      <c r="H413" s="95"/>
      <c r="I413" s="105"/>
      <c r="J413" s="95"/>
      <c r="K413" s="95"/>
      <c r="L413" s="104"/>
      <c r="M413" s="104"/>
      <c r="N413" s="95"/>
      <c r="O413" s="95"/>
      <c r="P413" s="95"/>
      <c r="Q413" s="95"/>
      <c r="R413" s="95"/>
      <c r="S413" s="95"/>
      <c r="T413" s="95"/>
      <c r="U413" s="95"/>
      <c r="V413" s="95"/>
      <c r="W413" s="95"/>
      <c r="X413" s="95"/>
      <c r="Y413" s="95"/>
      <c r="Z413" s="95"/>
      <c r="AA413" s="95"/>
      <c r="AB413" s="95"/>
      <c r="AC413" s="95"/>
    </row>
    <row r="414" ht="15.75" customHeight="1" spans="1:29">
      <c r="A414" s="95"/>
      <c r="B414" s="95"/>
      <c r="C414" s="102"/>
      <c r="D414" s="95"/>
      <c r="E414" s="95"/>
      <c r="F414" s="95"/>
      <c r="G414" s="95"/>
      <c r="H414" s="95"/>
      <c r="I414" s="105"/>
      <c r="J414" s="95"/>
      <c r="K414" s="95"/>
      <c r="L414" s="104"/>
      <c r="M414" s="106"/>
      <c r="N414" s="95"/>
      <c r="O414" s="95"/>
      <c r="P414" s="95"/>
      <c r="Q414" s="95"/>
      <c r="R414" s="95"/>
      <c r="S414" s="95"/>
      <c r="T414" s="95"/>
      <c r="U414" s="95"/>
      <c r="V414" s="95"/>
      <c r="W414" s="95"/>
      <c r="X414" s="95"/>
      <c r="Y414" s="95"/>
      <c r="Z414" s="95"/>
      <c r="AA414" s="95"/>
      <c r="AB414" s="95"/>
      <c r="AC414" s="95"/>
    </row>
    <row r="415" ht="15.75" customHeight="1" spans="1:29">
      <c r="A415" s="95"/>
      <c r="B415" s="95"/>
      <c r="C415" s="102"/>
      <c r="D415" s="95"/>
      <c r="E415" s="95"/>
      <c r="F415" s="95"/>
      <c r="G415" s="95"/>
      <c r="H415" s="95"/>
      <c r="I415" s="105"/>
      <c r="J415" s="95"/>
      <c r="K415" s="95"/>
      <c r="L415" s="104"/>
      <c r="M415" s="104"/>
      <c r="N415" s="95"/>
      <c r="O415" s="95"/>
      <c r="P415" s="95"/>
      <c r="Q415" s="95"/>
      <c r="R415" s="95"/>
      <c r="S415" s="95"/>
      <c r="T415" s="95"/>
      <c r="U415" s="95"/>
      <c r="V415" s="95"/>
      <c r="W415" s="95"/>
      <c r="X415" s="95"/>
      <c r="Y415" s="95"/>
      <c r="Z415" s="95"/>
      <c r="AA415" s="95"/>
      <c r="AB415" s="95"/>
      <c r="AC415" s="95"/>
    </row>
    <row r="416" ht="15.75" customHeight="1" spans="1:29">
      <c r="A416" s="95"/>
      <c r="B416" s="95"/>
      <c r="C416" s="102"/>
      <c r="D416" s="95"/>
      <c r="E416" s="95"/>
      <c r="F416" s="95"/>
      <c r="G416" s="95"/>
      <c r="H416" s="95"/>
      <c r="I416" s="105"/>
      <c r="J416" s="95"/>
      <c r="K416" s="95"/>
      <c r="L416" s="104"/>
      <c r="M416" s="104"/>
      <c r="N416" s="95"/>
      <c r="O416" s="95"/>
      <c r="P416" s="95"/>
      <c r="Q416" s="95"/>
      <c r="R416" s="95"/>
      <c r="S416" s="95"/>
      <c r="T416" s="95"/>
      <c r="U416" s="95"/>
      <c r="V416" s="95"/>
      <c r="W416" s="95"/>
      <c r="X416" s="95"/>
      <c r="Y416" s="95"/>
      <c r="Z416" s="95"/>
      <c r="AA416" s="95"/>
      <c r="AB416" s="95"/>
      <c r="AC416" s="95"/>
    </row>
    <row r="417" ht="15.75" customHeight="1" spans="1:29">
      <c r="A417" s="95"/>
      <c r="B417" s="95"/>
      <c r="C417" s="102"/>
      <c r="D417" s="95"/>
      <c r="E417" s="95"/>
      <c r="F417" s="95"/>
      <c r="G417" s="95"/>
      <c r="H417" s="95"/>
      <c r="I417" s="105"/>
      <c r="J417" s="95"/>
      <c r="K417" s="95"/>
      <c r="L417" s="104"/>
      <c r="M417" s="104"/>
      <c r="N417" s="95"/>
      <c r="O417" s="95"/>
      <c r="P417" s="95"/>
      <c r="Q417" s="95"/>
      <c r="R417" s="95"/>
      <c r="S417" s="95"/>
      <c r="T417" s="95"/>
      <c r="U417" s="95"/>
      <c r="V417" s="95"/>
      <c r="W417" s="95"/>
      <c r="X417" s="95"/>
      <c r="Y417" s="95"/>
      <c r="Z417" s="95"/>
      <c r="AA417" s="95"/>
      <c r="AB417" s="95"/>
      <c r="AC417" s="95"/>
    </row>
    <row r="418" ht="15.75" customHeight="1" spans="1:29">
      <c r="A418" s="95"/>
      <c r="B418" s="95"/>
      <c r="C418" s="102"/>
      <c r="D418" s="95"/>
      <c r="E418" s="95"/>
      <c r="F418" s="95"/>
      <c r="G418" s="95"/>
      <c r="H418" s="95"/>
      <c r="I418" s="105"/>
      <c r="J418" s="95"/>
      <c r="K418" s="95"/>
      <c r="L418" s="104"/>
      <c r="M418" s="104"/>
      <c r="N418" s="95"/>
      <c r="O418" s="95"/>
      <c r="P418" s="95"/>
      <c r="Q418" s="95"/>
      <c r="R418" s="95"/>
      <c r="S418" s="95"/>
      <c r="T418" s="95"/>
      <c r="U418" s="95"/>
      <c r="V418" s="95"/>
      <c r="W418" s="95"/>
      <c r="X418" s="95"/>
      <c r="Y418" s="95"/>
      <c r="Z418" s="95"/>
      <c r="AA418" s="95"/>
      <c r="AB418" s="95"/>
      <c r="AC418" s="95"/>
    </row>
    <row r="419" ht="15.75" customHeight="1" spans="1:29">
      <c r="A419" s="95"/>
      <c r="B419" s="95"/>
      <c r="C419" s="102"/>
      <c r="D419" s="95"/>
      <c r="E419" s="95"/>
      <c r="F419" s="95"/>
      <c r="G419" s="95"/>
      <c r="H419" s="95"/>
      <c r="I419" s="105"/>
      <c r="J419" s="95"/>
      <c r="K419" s="95"/>
      <c r="L419" s="104"/>
      <c r="M419" s="106"/>
      <c r="N419" s="95"/>
      <c r="O419" s="95"/>
      <c r="P419" s="95"/>
      <c r="Q419" s="95"/>
      <c r="R419" s="95"/>
      <c r="S419" s="95"/>
      <c r="T419" s="95"/>
      <c r="U419" s="95"/>
      <c r="V419" s="95"/>
      <c r="W419" s="95"/>
      <c r="X419" s="95"/>
      <c r="Y419" s="95"/>
      <c r="Z419" s="95"/>
      <c r="AA419" s="95"/>
      <c r="AB419" s="95"/>
      <c r="AC419" s="95"/>
    </row>
    <row r="420" ht="15.75" customHeight="1" spans="1:29">
      <c r="A420" s="95"/>
      <c r="B420" s="95"/>
      <c r="C420" s="102"/>
      <c r="D420" s="95"/>
      <c r="E420" s="95"/>
      <c r="F420" s="95"/>
      <c r="G420" s="95"/>
      <c r="H420" s="95"/>
      <c r="I420" s="105"/>
      <c r="J420" s="95"/>
      <c r="K420" s="95"/>
      <c r="L420" s="104"/>
      <c r="M420" s="104"/>
      <c r="N420" s="95"/>
      <c r="O420" s="95"/>
      <c r="P420" s="95"/>
      <c r="Q420" s="95"/>
      <c r="R420" s="95"/>
      <c r="S420" s="95"/>
      <c r="T420" s="95"/>
      <c r="U420" s="95"/>
      <c r="V420" s="95"/>
      <c r="W420" s="95"/>
      <c r="X420" s="95"/>
      <c r="Y420" s="95"/>
      <c r="Z420" s="95"/>
      <c r="AA420" s="95"/>
      <c r="AB420" s="95"/>
      <c r="AC420" s="95"/>
    </row>
    <row r="421" ht="15.75" customHeight="1" spans="1:29">
      <c r="A421" s="95"/>
      <c r="B421" s="95"/>
      <c r="C421" s="102"/>
      <c r="D421" s="95"/>
      <c r="E421" s="95"/>
      <c r="F421" s="95"/>
      <c r="G421" s="95"/>
      <c r="H421" s="95"/>
      <c r="I421" s="105"/>
      <c r="J421" s="95"/>
      <c r="K421" s="95"/>
      <c r="L421" s="106"/>
      <c r="M421" s="104"/>
      <c r="N421" s="95"/>
      <c r="O421" s="95"/>
      <c r="P421" s="95"/>
      <c r="Q421" s="95"/>
      <c r="R421" s="95"/>
      <c r="S421" s="95"/>
      <c r="T421" s="95"/>
      <c r="U421" s="95"/>
      <c r="V421" s="95"/>
      <c r="W421" s="95"/>
      <c r="X421" s="95"/>
      <c r="Y421" s="95"/>
      <c r="Z421" s="95"/>
      <c r="AA421" s="95"/>
      <c r="AB421" s="95"/>
      <c r="AC421" s="95"/>
    </row>
    <row r="422" ht="15.75" customHeight="1" spans="1:29">
      <c r="A422" s="95"/>
      <c r="B422" s="95"/>
      <c r="C422" s="102"/>
      <c r="D422" s="95"/>
      <c r="E422" s="95"/>
      <c r="F422" s="95"/>
      <c r="G422" s="95"/>
      <c r="H422" s="95"/>
      <c r="I422" s="105"/>
      <c r="J422" s="95"/>
      <c r="K422" s="95"/>
      <c r="L422" s="104"/>
      <c r="M422" s="104"/>
      <c r="N422" s="95"/>
      <c r="O422" s="95"/>
      <c r="P422" s="95"/>
      <c r="Q422" s="95"/>
      <c r="R422" s="95"/>
      <c r="S422" s="95"/>
      <c r="T422" s="95"/>
      <c r="U422" s="95"/>
      <c r="V422" s="95"/>
      <c r="W422" s="95"/>
      <c r="X422" s="95"/>
      <c r="Y422" s="95"/>
      <c r="Z422" s="95"/>
      <c r="AA422" s="95"/>
      <c r="AB422" s="95"/>
      <c r="AC422" s="95"/>
    </row>
    <row r="423" ht="15.75" customHeight="1" spans="1:29">
      <c r="A423" s="95"/>
      <c r="B423" s="95"/>
      <c r="C423" s="102"/>
      <c r="D423" s="95"/>
      <c r="E423" s="95"/>
      <c r="F423" s="95"/>
      <c r="G423" s="95"/>
      <c r="H423" s="95"/>
      <c r="I423" s="105"/>
      <c r="J423" s="95"/>
      <c r="K423" s="95"/>
      <c r="L423" s="106"/>
      <c r="M423" s="106"/>
      <c r="N423" s="95"/>
      <c r="O423" s="95"/>
      <c r="P423" s="95"/>
      <c r="Q423" s="95"/>
      <c r="R423" s="95"/>
      <c r="S423" s="95"/>
      <c r="T423" s="95"/>
      <c r="U423" s="95"/>
      <c r="V423" s="95"/>
      <c r="W423" s="95"/>
      <c r="X423" s="95"/>
      <c r="Y423" s="95"/>
      <c r="Z423" s="95"/>
      <c r="AA423" s="95"/>
      <c r="AB423" s="95"/>
      <c r="AC423" s="95"/>
    </row>
    <row r="424" ht="15.75" customHeight="1" spans="1:29">
      <c r="A424" s="95"/>
      <c r="B424" s="95"/>
      <c r="C424" s="102"/>
      <c r="D424" s="95"/>
      <c r="E424" s="95"/>
      <c r="F424" s="95"/>
      <c r="G424" s="95"/>
      <c r="H424" s="95"/>
      <c r="I424" s="105"/>
      <c r="J424" s="95"/>
      <c r="K424" s="95"/>
      <c r="L424" s="104"/>
      <c r="M424" s="104"/>
      <c r="N424" s="95"/>
      <c r="O424" s="95"/>
      <c r="P424" s="95"/>
      <c r="Q424" s="95"/>
      <c r="R424" s="95"/>
      <c r="S424" s="95"/>
      <c r="T424" s="95"/>
      <c r="U424" s="95"/>
      <c r="V424" s="95"/>
      <c r="W424" s="95"/>
      <c r="X424" s="95"/>
      <c r="Y424" s="95"/>
      <c r="Z424" s="95"/>
      <c r="AA424" s="95"/>
      <c r="AB424" s="95"/>
      <c r="AC424" s="95"/>
    </row>
    <row r="425" ht="15.75" customHeight="1" spans="1:29">
      <c r="A425" s="95"/>
      <c r="B425" s="95"/>
      <c r="C425" s="102"/>
      <c r="D425" s="95"/>
      <c r="E425" s="95"/>
      <c r="F425" s="95"/>
      <c r="G425" s="95"/>
      <c r="H425" s="95"/>
      <c r="I425" s="105"/>
      <c r="J425" s="95"/>
      <c r="K425" s="95"/>
      <c r="L425" s="104"/>
      <c r="M425" s="104"/>
      <c r="N425" s="95"/>
      <c r="O425" s="95"/>
      <c r="P425" s="95"/>
      <c r="Q425" s="95"/>
      <c r="R425" s="95"/>
      <c r="S425" s="95"/>
      <c r="T425" s="95"/>
      <c r="U425" s="95"/>
      <c r="V425" s="95"/>
      <c r="W425" s="95"/>
      <c r="X425" s="95"/>
      <c r="Y425" s="95"/>
      <c r="Z425" s="95"/>
      <c r="AA425" s="95"/>
      <c r="AB425" s="95"/>
      <c r="AC425" s="95"/>
    </row>
    <row r="426" ht="15.75" customHeight="1" spans="1:29">
      <c r="A426" s="95"/>
      <c r="B426" s="95"/>
      <c r="C426" s="102"/>
      <c r="D426" s="95"/>
      <c r="E426" s="95"/>
      <c r="F426" s="95"/>
      <c r="G426" s="95"/>
      <c r="H426" s="95"/>
      <c r="I426" s="105"/>
      <c r="J426" s="95"/>
      <c r="K426" s="95"/>
      <c r="L426" s="104"/>
      <c r="M426" s="104"/>
      <c r="N426" s="95"/>
      <c r="O426" s="95"/>
      <c r="P426" s="95"/>
      <c r="Q426" s="95"/>
      <c r="R426" s="95"/>
      <c r="S426" s="95"/>
      <c r="T426" s="95"/>
      <c r="U426" s="95"/>
      <c r="V426" s="95"/>
      <c r="W426" s="95"/>
      <c r="X426" s="95"/>
      <c r="Y426" s="95"/>
      <c r="Z426" s="95"/>
      <c r="AA426" s="95"/>
      <c r="AB426" s="95"/>
      <c r="AC426" s="95"/>
    </row>
    <row r="427" ht="15.75" customHeight="1" spans="1:29">
      <c r="A427" s="95"/>
      <c r="B427" s="95"/>
      <c r="C427" s="102"/>
      <c r="D427" s="95"/>
      <c r="E427" s="95"/>
      <c r="F427" s="95"/>
      <c r="G427" s="95"/>
      <c r="H427" s="95"/>
      <c r="I427" s="105"/>
      <c r="J427" s="95"/>
      <c r="K427" s="95"/>
      <c r="L427" s="104"/>
      <c r="M427" s="104"/>
      <c r="N427" s="95"/>
      <c r="O427" s="95"/>
      <c r="P427" s="95"/>
      <c r="Q427" s="95"/>
      <c r="R427" s="95"/>
      <c r="S427" s="95"/>
      <c r="T427" s="95"/>
      <c r="U427" s="95"/>
      <c r="V427" s="95"/>
      <c r="W427" s="95"/>
      <c r="X427" s="95"/>
      <c r="Y427" s="95"/>
      <c r="Z427" s="95"/>
      <c r="AA427" s="95"/>
      <c r="AB427" s="95"/>
      <c r="AC427" s="95"/>
    </row>
    <row r="428" ht="15.75" customHeight="1" spans="1:29">
      <c r="A428" s="95"/>
      <c r="B428" s="95"/>
      <c r="C428" s="102"/>
      <c r="D428" s="95"/>
      <c r="E428" s="95"/>
      <c r="F428" s="95"/>
      <c r="G428" s="95"/>
      <c r="H428" s="95"/>
      <c r="I428" s="103"/>
      <c r="J428" s="95"/>
      <c r="K428" s="95"/>
      <c r="L428" s="104"/>
      <c r="M428" s="104"/>
      <c r="N428" s="95"/>
      <c r="O428" s="95"/>
      <c r="P428" s="95"/>
      <c r="Q428" s="95"/>
      <c r="R428" s="95"/>
      <c r="S428" s="95"/>
      <c r="T428" s="95"/>
      <c r="U428" s="95"/>
      <c r="V428" s="95"/>
      <c r="W428" s="95"/>
      <c r="X428" s="95"/>
      <c r="Y428" s="95"/>
      <c r="Z428" s="95"/>
      <c r="AA428" s="95"/>
      <c r="AB428" s="95"/>
      <c r="AC428" s="95"/>
    </row>
    <row r="429" ht="15.75" customHeight="1" spans="1:29">
      <c r="A429" s="95"/>
      <c r="B429" s="95"/>
      <c r="C429" s="102"/>
      <c r="D429" s="95"/>
      <c r="E429" s="95"/>
      <c r="F429" s="95"/>
      <c r="G429" s="95"/>
      <c r="H429" s="95"/>
      <c r="I429" s="103"/>
      <c r="J429" s="95"/>
      <c r="K429" s="95"/>
      <c r="L429" s="104"/>
      <c r="M429" s="104"/>
      <c r="N429" s="95"/>
      <c r="O429" s="95"/>
      <c r="P429" s="95"/>
      <c r="Q429" s="95"/>
      <c r="R429" s="95"/>
      <c r="S429" s="95"/>
      <c r="T429" s="95"/>
      <c r="U429" s="95"/>
      <c r="V429" s="95"/>
      <c r="W429" s="95"/>
      <c r="X429" s="95"/>
      <c r="Y429" s="95"/>
      <c r="Z429" s="95"/>
      <c r="AA429" s="95"/>
      <c r="AB429" s="95"/>
      <c r="AC429" s="95"/>
    </row>
    <row r="430" ht="15.75" customHeight="1" spans="1:29">
      <c r="A430" s="95"/>
      <c r="B430" s="95"/>
      <c r="C430" s="102"/>
      <c r="D430" s="95"/>
      <c r="E430" s="95"/>
      <c r="F430" s="95"/>
      <c r="G430" s="95"/>
      <c r="H430" s="95"/>
      <c r="I430" s="103"/>
      <c r="J430" s="95"/>
      <c r="K430" s="95"/>
      <c r="L430" s="104"/>
      <c r="M430" s="104"/>
      <c r="N430" s="95"/>
      <c r="O430" s="95"/>
      <c r="P430" s="95"/>
      <c r="Q430" s="95"/>
      <c r="R430" s="95"/>
      <c r="S430" s="95"/>
      <c r="T430" s="95"/>
      <c r="U430" s="95"/>
      <c r="V430" s="95"/>
      <c r="W430" s="95"/>
      <c r="X430" s="95"/>
      <c r="Y430" s="95"/>
      <c r="Z430" s="95"/>
      <c r="AA430" s="95"/>
      <c r="AB430" s="95"/>
      <c r="AC430" s="95"/>
    </row>
    <row r="431" ht="15.75" customHeight="1" spans="1:29">
      <c r="A431" s="95"/>
      <c r="B431" s="95"/>
      <c r="C431" s="102"/>
      <c r="D431" s="95"/>
      <c r="E431" s="95"/>
      <c r="F431" s="95"/>
      <c r="G431" s="95"/>
      <c r="H431" s="95"/>
      <c r="I431" s="103"/>
      <c r="J431" s="95"/>
      <c r="K431" s="95"/>
      <c r="L431" s="104"/>
      <c r="M431" s="104"/>
      <c r="N431" s="95"/>
      <c r="O431" s="95"/>
      <c r="P431" s="95"/>
      <c r="Q431" s="95"/>
      <c r="R431" s="95"/>
      <c r="S431" s="95"/>
      <c r="T431" s="95"/>
      <c r="U431" s="95"/>
      <c r="V431" s="95"/>
      <c r="W431" s="95"/>
      <c r="X431" s="95"/>
      <c r="Y431" s="95"/>
      <c r="Z431" s="95"/>
      <c r="AA431" s="95"/>
      <c r="AB431" s="95"/>
      <c r="AC431" s="95"/>
    </row>
    <row r="432" ht="15.75" customHeight="1" spans="1:29">
      <c r="A432" s="95"/>
      <c r="B432" s="95"/>
      <c r="C432" s="102"/>
      <c r="D432" s="95"/>
      <c r="E432" s="95"/>
      <c r="F432" s="95"/>
      <c r="G432" s="95"/>
      <c r="H432" s="95"/>
      <c r="I432" s="103"/>
      <c r="J432" s="95"/>
      <c r="K432" s="95"/>
      <c r="L432" s="104"/>
      <c r="M432" s="104"/>
      <c r="N432" s="95"/>
      <c r="O432" s="95"/>
      <c r="P432" s="95"/>
      <c r="Q432" s="95"/>
      <c r="R432" s="95"/>
      <c r="S432" s="95"/>
      <c r="T432" s="95"/>
      <c r="U432" s="95"/>
      <c r="V432" s="95"/>
      <c r="W432" s="95"/>
      <c r="X432" s="95"/>
      <c r="Y432" s="95"/>
      <c r="Z432" s="95"/>
      <c r="AA432" s="95"/>
      <c r="AB432" s="95"/>
      <c r="AC432" s="95"/>
    </row>
    <row r="433" ht="15.75" customHeight="1" spans="1:29">
      <c r="A433" s="95"/>
      <c r="B433" s="95"/>
      <c r="C433" s="102"/>
      <c r="D433" s="95"/>
      <c r="E433" s="95"/>
      <c r="F433" s="95"/>
      <c r="G433" s="95"/>
      <c r="H433" s="95"/>
      <c r="I433" s="103"/>
      <c r="J433" s="95"/>
      <c r="K433" s="95"/>
      <c r="L433" s="104"/>
      <c r="M433" s="104"/>
      <c r="N433" s="95"/>
      <c r="O433" s="95"/>
      <c r="P433" s="95"/>
      <c r="Q433" s="95"/>
      <c r="R433" s="95"/>
      <c r="S433" s="95"/>
      <c r="T433" s="95"/>
      <c r="U433" s="95"/>
      <c r="V433" s="95"/>
      <c r="W433" s="95"/>
      <c r="X433" s="95"/>
      <c r="Y433" s="95"/>
      <c r="Z433" s="95"/>
      <c r="AA433" s="95"/>
      <c r="AB433" s="95"/>
      <c r="AC433" s="95"/>
    </row>
    <row r="434" ht="15.75" customHeight="1" spans="1:29">
      <c r="A434" s="95"/>
      <c r="B434" s="95"/>
      <c r="C434" s="102"/>
      <c r="D434" s="95"/>
      <c r="E434" s="95"/>
      <c r="F434" s="95"/>
      <c r="G434" s="95"/>
      <c r="H434" s="95"/>
      <c r="I434" s="103"/>
      <c r="J434" s="95"/>
      <c r="K434" s="95"/>
      <c r="L434" s="104"/>
      <c r="M434" s="104"/>
      <c r="N434" s="95"/>
      <c r="O434" s="95"/>
      <c r="P434" s="95"/>
      <c r="Q434" s="95"/>
      <c r="R434" s="95"/>
      <c r="S434" s="95"/>
      <c r="T434" s="95"/>
      <c r="U434" s="95"/>
      <c r="V434" s="95"/>
      <c r="W434" s="95"/>
      <c r="X434" s="95"/>
      <c r="Y434" s="95"/>
      <c r="Z434" s="95"/>
      <c r="AA434" s="95"/>
      <c r="AB434" s="95"/>
      <c r="AC434" s="95"/>
    </row>
    <row r="435" ht="15.75" customHeight="1" spans="1:29">
      <c r="A435" s="95"/>
      <c r="B435" s="95"/>
      <c r="C435" s="102"/>
      <c r="D435" s="95"/>
      <c r="E435" s="95"/>
      <c r="F435" s="95"/>
      <c r="G435" s="95"/>
      <c r="H435" s="95"/>
      <c r="I435" s="103"/>
      <c r="J435" s="95"/>
      <c r="K435" s="95"/>
      <c r="L435" s="104"/>
      <c r="M435" s="104"/>
      <c r="N435" s="95"/>
      <c r="O435" s="95"/>
      <c r="P435" s="95"/>
      <c r="Q435" s="95"/>
      <c r="R435" s="95"/>
      <c r="S435" s="95"/>
      <c r="T435" s="95"/>
      <c r="U435" s="95"/>
      <c r="V435" s="95"/>
      <c r="W435" s="95"/>
      <c r="X435" s="95"/>
      <c r="Y435" s="95"/>
      <c r="Z435" s="95"/>
      <c r="AA435" s="95"/>
      <c r="AB435" s="95"/>
      <c r="AC435" s="95"/>
    </row>
    <row r="436" ht="15.75" customHeight="1" spans="1:29">
      <c r="A436" s="95"/>
      <c r="B436" s="95"/>
      <c r="C436" s="102"/>
      <c r="D436" s="95"/>
      <c r="E436" s="95"/>
      <c r="F436" s="95"/>
      <c r="G436" s="95"/>
      <c r="H436" s="95"/>
      <c r="I436" s="103"/>
      <c r="J436" s="95"/>
      <c r="K436" s="95"/>
      <c r="L436" s="106"/>
      <c r="M436" s="104"/>
      <c r="N436" s="95"/>
      <c r="O436" s="95"/>
      <c r="P436" s="95"/>
      <c r="Q436" s="95"/>
      <c r="R436" s="95"/>
      <c r="S436" s="95"/>
      <c r="T436" s="95"/>
      <c r="U436" s="95"/>
      <c r="V436" s="95"/>
      <c r="W436" s="95"/>
      <c r="X436" s="95"/>
      <c r="Y436" s="95"/>
      <c r="Z436" s="95"/>
      <c r="AA436" s="95"/>
      <c r="AB436" s="95"/>
      <c r="AC436" s="95"/>
    </row>
    <row r="437" ht="15.75" customHeight="1" spans="1:29">
      <c r="A437" s="95"/>
      <c r="B437" s="95"/>
      <c r="C437" s="102"/>
      <c r="D437" s="95"/>
      <c r="E437" s="95"/>
      <c r="F437" s="95"/>
      <c r="G437" s="95"/>
      <c r="H437" s="95"/>
      <c r="I437" s="103"/>
      <c r="J437" s="95"/>
      <c r="K437" s="95"/>
      <c r="L437" s="104"/>
      <c r="M437" s="106"/>
      <c r="N437" s="95"/>
      <c r="O437" s="95"/>
      <c r="P437" s="95"/>
      <c r="Q437" s="95"/>
      <c r="R437" s="95"/>
      <c r="S437" s="95"/>
      <c r="T437" s="95"/>
      <c r="U437" s="95"/>
      <c r="V437" s="95"/>
      <c r="W437" s="95"/>
      <c r="X437" s="95"/>
      <c r="Y437" s="95"/>
      <c r="Z437" s="95"/>
      <c r="AA437" s="95"/>
      <c r="AB437" s="95"/>
      <c r="AC437" s="95"/>
    </row>
    <row r="438" ht="15.75" customHeight="1" spans="1:29">
      <c r="A438" s="95"/>
      <c r="B438" s="95"/>
      <c r="C438" s="102"/>
      <c r="D438" s="95"/>
      <c r="E438" s="95"/>
      <c r="F438" s="95"/>
      <c r="G438" s="95"/>
      <c r="H438" s="95"/>
      <c r="I438" s="105"/>
      <c r="J438" s="95"/>
      <c r="K438" s="95"/>
      <c r="L438" s="104"/>
      <c r="M438" s="104"/>
      <c r="N438" s="95"/>
      <c r="O438" s="95"/>
      <c r="P438" s="95"/>
      <c r="Q438" s="95"/>
      <c r="R438" s="95"/>
      <c r="S438" s="95"/>
      <c r="T438" s="95"/>
      <c r="U438" s="95"/>
      <c r="V438" s="95"/>
      <c r="W438" s="95"/>
      <c r="X438" s="95"/>
      <c r="Y438" s="95"/>
      <c r="Z438" s="95"/>
      <c r="AA438" s="95"/>
      <c r="AB438" s="95"/>
      <c r="AC438" s="95"/>
    </row>
    <row r="439" ht="15.75" customHeight="1" spans="1:29">
      <c r="A439" s="95"/>
      <c r="B439" s="95"/>
      <c r="C439" s="102"/>
      <c r="D439" s="95"/>
      <c r="E439" s="95"/>
      <c r="F439" s="95"/>
      <c r="G439" s="95"/>
      <c r="H439" s="95"/>
      <c r="I439" s="105"/>
      <c r="J439" s="95"/>
      <c r="K439" s="95"/>
      <c r="L439" s="106"/>
      <c r="M439" s="104"/>
      <c r="N439" s="95"/>
      <c r="O439" s="95"/>
      <c r="P439" s="95"/>
      <c r="Q439" s="95"/>
      <c r="R439" s="95"/>
      <c r="S439" s="95"/>
      <c r="T439" s="95"/>
      <c r="U439" s="95"/>
      <c r="V439" s="95"/>
      <c r="W439" s="95"/>
      <c r="X439" s="95"/>
      <c r="Y439" s="95"/>
      <c r="Z439" s="95"/>
      <c r="AA439" s="95"/>
      <c r="AB439" s="95"/>
      <c r="AC439" s="95"/>
    </row>
    <row r="440" ht="15.75" customHeight="1" spans="1:29">
      <c r="A440" s="95"/>
      <c r="B440" s="95"/>
      <c r="C440" s="102"/>
      <c r="D440" s="95"/>
      <c r="E440" s="95"/>
      <c r="F440" s="95"/>
      <c r="G440" s="95"/>
      <c r="H440" s="95"/>
      <c r="I440" s="105"/>
      <c r="J440" s="95"/>
      <c r="K440" s="95"/>
      <c r="L440" s="104"/>
      <c r="M440" s="104"/>
      <c r="N440" s="95"/>
      <c r="O440" s="95"/>
      <c r="P440" s="95"/>
      <c r="Q440" s="95"/>
      <c r="R440" s="95"/>
      <c r="S440" s="95"/>
      <c r="T440" s="95"/>
      <c r="U440" s="95"/>
      <c r="V440" s="95"/>
      <c r="W440" s="95"/>
      <c r="X440" s="95"/>
      <c r="Y440" s="95"/>
      <c r="Z440" s="95"/>
      <c r="AA440" s="95"/>
      <c r="AB440" s="95"/>
      <c r="AC440" s="95"/>
    </row>
    <row r="441" ht="15.75" customHeight="1" spans="1:29">
      <c r="A441" s="95"/>
      <c r="B441" s="95"/>
      <c r="C441" s="102"/>
      <c r="D441" s="95"/>
      <c r="E441" s="95"/>
      <c r="F441" s="95"/>
      <c r="G441" s="95"/>
      <c r="H441" s="95"/>
      <c r="I441" s="105"/>
      <c r="J441" s="95"/>
      <c r="K441" s="95"/>
      <c r="L441" s="104"/>
      <c r="M441" s="104"/>
      <c r="N441" s="95"/>
      <c r="O441" s="95"/>
      <c r="P441" s="95"/>
      <c r="Q441" s="95"/>
      <c r="R441" s="95"/>
      <c r="S441" s="95"/>
      <c r="T441" s="95"/>
      <c r="U441" s="95"/>
      <c r="V441" s="95"/>
      <c r="W441" s="95"/>
      <c r="X441" s="95"/>
      <c r="Y441" s="95"/>
      <c r="Z441" s="95"/>
      <c r="AA441" s="95"/>
      <c r="AB441" s="95"/>
      <c r="AC441" s="95"/>
    </row>
    <row r="442" ht="15.75" customHeight="1" spans="1:29">
      <c r="A442" s="95"/>
      <c r="B442" s="95"/>
      <c r="C442" s="102"/>
      <c r="D442" s="95"/>
      <c r="E442" s="95"/>
      <c r="F442" s="95"/>
      <c r="G442" s="95"/>
      <c r="H442" s="95"/>
      <c r="I442" s="105"/>
      <c r="J442" s="95"/>
      <c r="K442" s="95"/>
      <c r="L442" s="106"/>
      <c r="M442" s="104"/>
      <c r="N442" s="95"/>
      <c r="O442" s="95"/>
      <c r="P442" s="95"/>
      <c r="Q442" s="95"/>
      <c r="R442" s="95"/>
      <c r="S442" s="95"/>
      <c r="T442" s="95"/>
      <c r="U442" s="95"/>
      <c r="V442" s="95"/>
      <c r="W442" s="95"/>
      <c r="X442" s="95"/>
      <c r="Y442" s="95"/>
      <c r="Z442" s="95"/>
      <c r="AA442" s="95"/>
      <c r="AB442" s="95"/>
      <c r="AC442" s="95"/>
    </row>
    <row r="443" ht="15.75" customHeight="1" spans="1:29">
      <c r="A443" s="95"/>
      <c r="B443" s="95"/>
      <c r="C443" s="102"/>
      <c r="D443" s="95"/>
      <c r="E443" s="95"/>
      <c r="F443" s="95"/>
      <c r="G443" s="95"/>
      <c r="H443" s="95"/>
      <c r="I443" s="105"/>
      <c r="J443" s="95"/>
      <c r="K443" s="95"/>
      <c r="L443" s="104"/>
      <c r="M443" s="104"/>
      <c r="N443" s="95"/>
      <c r="O443" s="95"/>
      <c r="P443" s="95"/>
      <c r="Q443" s="95"/>
      <c r="R443" s="95"/>
      <c r="S443" s="95"/>
      <c r="T443" s="95"/>
      <c r="U443" s="95"/>
      <c r="V443" s="95"/>
      <c r="W443" s="95"/>
      <c r="X443" s="95"/>
      <c r="Y443" s="95"/>
      <c r="Z443" s="95"/>
      <c r="AA443" s="95"/>
      <c r="AB443" s="95"/>
      <c r="AC443" s="95"/>
    </row>
    <row r="444" ht="15.75" customHeight="1" spans="1:29">
      <c r="A444" s="95"/>
      <c r="B444" s="95"/>
      <c r="C444" s="102"/>
      <c r="D444" s="95"/>
      <c r="E444" s="95"/>
      <c r="F444" s="95"/>
      <c r="G444" s="95"/>
      <c r="H444" s="95"/>
      <c r="I444" s="105"/>
      <c r="J444" s="95"/>
      <c r="K444" s="95"/>
      <c r="L444" s="104"/>
      <c r="M444" s="104"/>
      <c r="N444" s="95"/>
      <c r="O444" s="95"/>
      <c r="P444" s="95"/>
      <c r="Q444" s="95"/>
      <c r="R444" s="95"/>
      <c r="S444" s="95"/>
      <c r="T444" s="95"/>
      <c r="U444" s="95"/>
      <c r="V444" s="95"/>
      <c r="W444" s="95"/>
      <c r="X444" s="95"/>
      <c r="Y444" s="95"/>
      <c r="Z444" s="95"/>
      <c r="AA444" s="95"/>
      <c r="AB444" s="95"/>
      <c r="AC444" s="95"/>
    </row>
    <row r="445" ht="15.75" customHeight="1" spans="1:29">
      <c r="A445" s="95"/>
      <c r="B445" s="95"/>
      <c r="C445" s="102"/>
      <c r="D445" s="95"/>
      <c r="E445" s="95"/>
      <c r="F445" s="95"/>
      <c r="G445" s="95"/>
      <c r="H445" s="95"/>
      <c r="I445" s="105"/>
      <c r="J445" s="95"/>
      <c r="K445" s="95"/>
      <c r="L445" s="104"/>
      <c r="M445" s="104"/>
      <c r="N445" s="95"/>
      <c r="O445" s="95"/>
      <c r="P445" s="95"/>
      <c r="Q445" s="95"/>
      <c r="R445" s="95"/>
      <c r="S445" s="95"/>
      <c r="T445" s="95"/>
      <c r="U445" s="95"/>
      <c r="V445" s="95"/>
      <c r="W445" s="95"/>
      <c r="X445" s="95"/>
      <c r="Y445" s="95"/>
      <c r="Z445" s="95"/>
      <c r="AA445" s="95"/>
      <c r="AB445" s="95"/>
      <c r="AC445" s="95"/>
    </row>
    <row r="446" ht="15.75" customHeight="1" spans="1:29">
      <c r="A446" s="95"/>
      <c r="B446" s="95"/>
      <c r="C446" s="102"/>
      <c r="D446" s="95"/>
      <c r="E446" s="95"/>
      <c r="F446" s="95"/>
      <c r="G446" s="95"/>
      <c r="H446" s="95"/>
      <c r="I446" s="105"/>
      <c r="J446" s="95"/>
      <c r="K446" s="95"/>
      <c r="L446" s="104"/>
      <c r="M446" s="104"/>
      <c r="N446" s="95"/>
      <c r="O446" s="95"/>
      <c r="P446" s="95"/>
      <c r="Q446" s="95"/>
      <c r="R446" s="95"/>
      <c r="S446" s="95"/>
      <c r="T446" s="95"/>
      <c r="U446" s="95"/>
      <c r="V446" s="95"/>
      <c r="W446" s="95"/>
      <c r="X446" s="95"/>
      <c r="Y446" s="95"/>
      <c r="Z446" s="95"/>
      <c r="AA446" s="95"/>
      <c r="AB446" s="95"/>
      <c r="AC446" s="95"/>
    </row>
    <row r="447" ht="15.75" customHeight="1" spans="1:29">
      <c r="A447" s="95"/>
      <c r="B447" s="95"/>
      <c r="C447" s="102"/>
      <c r="D447" s="95"/>
      <c r="E447" s="95"/>
      <c r="F447" s="95"/>
      <c r="G447" s="95"/>
      <c r="H447" s="95"/>
      <c r="I447" s="105"/>
      <c r="J447" s="95"/>
      <c r="K447" s="95"/>
      <c r="L447" s="104"/>
      <c r="M447" s="104"/>
      <c r="N447" s="95"/>
      <c r="O447" s="95"/>
      <c r="P447" s="95"/>
      <c r="Q447" s="95"/>
      <c r="R447" s="95"/>
      <c r="S447" s="95"/>
      <c r="T447" s="95"/>
      <c r="U447" s="95"/>
      <c r="V447" s="95"/>
      <c r="W447" s="95"/>
      <c r="X447" s="95"/>
      <c r="Y447" s="95"/>
      <c r="Z447" s="95"/>
      <c r="AA447" s="95"/>
      <c r="AB447" s="95"/>
      <c r="AC447" s="95"/>
    </row>
    <row r="448" ht="15.75" customHeight="1" spans="1:29">
      <c r="A448" s="95"/>
      <c r="B448" s="95"/>
      <c r="C448" s="102"/>
      <c r="D448" s="95"/>
      <c r="E448" s="95"/>
      <c r="F448" s="95"/>
      <c r="G448" s="95"/>
      <c r="H448" s="95"/>
      <c r="I448" s="105"/>
      <c r="J448" s="95"/>
      <c r="K448" s="95"/>
      <c r="L448" s="104"/>
      <c r="M448" s="104"/>
      <c r="N448" s="95"/>
      <c r="O448" s="95"/>
      <c r="P448" s="95"/>
      <c r="Q448" s="95"/>
      <c r="R448" s="95"/>
      <c r="S448" s="95"/>
      <c r="T448" s="95"/>
      <c r="U448" s="95"/>
      <c r="V448" s="95"/>
      <c r="W448" s="95"/>
      <c r="X448" s="95"/>
      <c r="Y448" s="95"/>
      <c r="Z448" s="95"/>
      <c r="AA448" s="95"/>
      <c r="AB448" s="95"/>
      <c r="AC448" s="95"/>
    </row>
    <row r="449" ht="15.75" customHeight="1" spans="1:29">
      <c r="A449" s="95"/>
      <c r="B449" s="95"/>
      <c r="C449" s="102"/>
      <c r="D449" s="95"/>
      <c r="E449" s="95"/>
      <c r="F449" s="95"/>
      <c r="G449" s="95"/>
      <c r="H449" s="95"/>
      <c r="I449" s="105"/>
      <c r="J449" s="95"/>
      <c r="K449" s="95"/>
      <c r="L449" s="104"/>
      <c r="M449" s="104"/>
      <c r="N449" s="95"/>
      <c r="O449" s="95"/>
      <c r="P449" s="95"/>
      <c r="Q449" s="95"/>
      <c r="R449" s="95"/>
      <c r="S449" s="95"/>
      <c r="T449" s="95"/>
      <c r="U449" s="95"/>
      <c r="V449" s="95"/>
      <c r="W449" s="95"/>
      <c r="X449" s="95"/>
      <c r="Y449" s="95"/>
      <c r="Z449" s="95"/>
      <c r="AA449" s="95"/>
      <c r="AB449" s="95"/>
      <c r="AC449" s="95"/>
    </row>
    <row r="450" ht="15.75" customHeight="1" spans="1:29">
      <c r="A450" s="95"/>
      <c r="B450" s="95"/>
      <c r="C450" s="102"/>
      <c r="D450" s="95"/>
      <c r="E450" s="95"/>
      <c r="F450" s="95"/>
      <c r="G450" s="95"/>
      <c r="H450" s="95"/>
      <c r="I450" s="103"/>
      <c r="J450" s="95"/>
      <c r="K450" s="95"/>
      <c r="L450" s="106"/>
      <c r="M450" s="104"/>
      <c r="N450" s="95"/>
      <c r="O450" s="95"/>
      <c r="P450" s="95"/>
      <c r="Q450" s="95"/>
      <c r="R450" s="95"/>
      <c r="S450" s="95"/>
      <c r="T450" s="95"/>
      <c r="U450" s="95"/>
      <c r="V450" s="95"/>
      <c r="W450" s="95"/>
      <c r="X450" s="95"/>
      <c r="Y450" s="95"/>
      <c r="Z450" s="95"/>
      <c r="AA450" s="95"/>
      <c r="AB450" s="95"/>
      <c r="AC450" s="95"/>
    </row>
    <row r="451" ht="15.75" customHeight="1" spans="1:29">
      <c r="A451" s="95"/>
      <c r="B451" s="95"/>
      <c r="C451" s="102"/>
      <c r="D451" s="95"/>
      <c r="E451" s="95"/>
      <c r="F451" s="95"/>
      <c r="G451" s="95"/>
      <c r="H451" s="95"/>
      <c r="I451" s="105"/>
      <c r="J451" s="95"/>
      <c r="K451" s="95"/>
      <c r="L451" s="106"/>
      <c r="M451" s="104"/>
      <c r="N451" s="95"/>
      <c r="O451" s="95"/>
      <c r="P451" s="95"/>
      <c r="Q451" s="95"/>
      <c r="R451" s="95"/>
      <c r="S451" s="95"/>
      <c r="T451" s="95"/>
      <c r="U451" s="95"/>
      <c r="V451" s="95"/>
      <c r="W451" s="95"/>
      <c r="X451" s="95"/>
      <c r="Y451" s="95"/>
      <c r="Z451" s="95"/>
      <c r="AA451" s="95"/>
      <c r="AB451" s="95"/>
      <c r="AC451" s="95"/>
    </row>
    <row r="452" ht="15.75" customHeight="1" spans="1:29">
      <c r="A452" s="95"/>
      <c r="B452" s="95"/>
      <c r="C452" s="102"/>
      <c r="D452" s="95"/>
      <c r="E452" s="95"/>
      <c r="F452" s="95"/>
      <c r="G452" s="95"/>
      <c r="H452" s="95"/>
      <c r="I452" s="105"/>
      <c r="J452" s="95"/>
      <c r="K452" s="95"/>
      <c r="L452" s="106"/>
      <c r="M452" s="106"/>
      <c r="N452" s="95"/>
      <c r="O452" s="95"/>
      <c r="P452" s="95"/>
      <c r="Q452" s="95"/>
      <c r="R452" s="95"/>
      <c r="S452" s="95"/>
      <c r="T452" s="95"/>
      <c r="U452" s="95"/>
      <c r="V452" s="95"/>
      <c r="W452" s="95"/>
      <c r="X452" s="95"/>
      <c r="Y452" s="95"/>
      <c r="Z452" s="95"/>
      <c r="AA452" s="95"/>
      <c r="AB452" s="95"/>
      <c r="AC452" s="95"/>
    </row>
    <row r="453" ht="15.75" customHeight="1" spans="1:29">
      <c r="A453" s="95"/>
      <c r="B453" s="95"/>
      <c r="C453" s="102"/>
      <c r="D453" s="95"/>
      <c r="E453" s="95"/>
      <c r="F453" s="95"/>
      <c r="G453" s="95"/>
      <c r="H453" s="95"/>
      <c r="I453" s="105"/>
      <c r="J453" s="95"/>
      <c r="K453" s="95"/>
      <c r="L453" s="104"/>
      <c r="M453" s="104"/>
      <c r="N453" s="95"/>
      <c r="O453" s="95"/>
      <c r="P453" s="95"/>
      <c r="Q453" s="95"/>
      <c r="R453" s="95"/>
      <c r="S453" s="95"/>
      <c r="T453" s="95"/>
      <c r="U453" s="95"/>
      <c r="V453" s="95"/>
      <c r="W453" s="95"/>
      <c r="X453" s="95"/>
      <c r="Y453" s="95"/>
      <c r="Z453" s="95"/>
      <c r="AA453" s="95"/>
      <c r="AB453" s="95"/>
      <c r="AC453" s="95"/>
    </row>
    <row r="454" ht="15.75" customHeight="1" spans="1:29">
      <c r="A454" s="95"/>
      <c r="B454" s="95"/>
      <c r="C454" s="102"/>
      <c r="D454" s="95"/>
      <c r="E454" s="95"/>
      <c r="F454" s="95"/>
      <c r="G454" s="95"/>
      <c r="H454" s="95"/>
      <c r="I454" s="105"/>
      <c r="J454" s="95"/>
      <c r="K454" s="95"/>
      <c r="L454" s="104"/>
      <c r="M454" s="104"/>
      <c r="N454" s="95"/>
      <c r="O454" s="95"/>
      <c r="P454" s="95"/>
      <c r="Q454" s="95"/>
      <c r="R454" s="95"/>
      <c r="S454" s="95"/>
      <c r="T454" s="95"/>
      <c r="U454" s="95"/>
      <c r="V454" s="95"/>
      <c r="W454" s="95"/>
      <c r="X454" s="95"/>
      <c r="Y454" s="95"/>
      <c r="Z454" s="95"/>
      <c r="AA454" s="95"/>
      <c r="AB454" s="95"/>
      <c r="AC454" s="95"/>
    </row>
    <row r="455" ht="15.75" customHeight="1" spans="1:29">
      <c r="A455" s="95"/>
      <c r="B455" s="95"/>
      <c r="C455" s="102"/>
      <c r="D455" s="95"/>
      <c r="E455" s="95"/>
      <c r="F455" s="95"/>
      <c r="G455" s="95"/>
      <c r="H455" s="95"/>
      <c r="I455" s="105"/>
      <c r="J455" s="95"/>
      <c r="K455" s="95"/>
      <c r="L455" s="104"/>
      <c r="M455" s="104"/>
      <c r="N455" s="95"/>
      <c r="O455" s="95"/>
      <c r="P455" s="95"/>
      <c r="Q455" s="95"/>
      <c r="R455" s="95"/>
      <c r="S455" s="95"/>
      <c r="T455" s="95"/>
      <c r="U455" s="95"/>
      <c r="V455" s="95"/>
      <c r="W455" s="95"/>
      <c r="X455" s="95"/>
      <c r="Y455" s="95"/>
      <c r="Z455" s="95"/>
      <c r="AA455" s="95"/>
      <c r="AB455" s="95"/>
      <c r="AC455" s="95"/>
    </row>
    <row r="456" ht="15.75" customHeight="1" spans="1:29">
      <c r="A456" s="95"/>
      <c r="B456" s="95"/>
      <c r="C456" s="102"/>
      <c r="D456" s="95"/>
      <c r="E456" s="95"/>
      <c r="F456" s="95"/>
      <c r="G456" s="95"/>
      <c r="H456" s="95"/>
      <c r="I456" s="105"/>
      <c r="J456" s="95"/>
      <c r="K456" s="95"/>
      <c r="L456" s="104"/>
      <c r="M456" s="104"/>
      <c r="N456" s="95"/>
      <c r="O456" s="95"/>
      <c r="P456" s="95"/>
      <c r="Q456" s="95"/>
      <c r="R456" s="95"/>
      <c r="S456" s="95"/>
      <c r="T456" s="95"/>
      <c r="U456" s="95"/>
      <c r="V456" s="95"/>
      <c r="W456" s="95"/>
      <c r="X456" s="95"/>
      <c r="Y456" s="95"/>
      <c r="Z456" s="95"/>
      <c r="AA456" s="95"/>
      <c r="AB456" s="95"/>
      <c r="AC456" s="95"/>
    </row>
    <row r="457" ht="15.75" customHeight="1" spans="1:29">
      <c r="A457" s="95"/>
      <c r="B457" s="95"/>
      <c r="C457" s="102"/>
      <c r="D457" s="95"/>
      <c r="E457" s="95"/>
      <c r="F457" s="95"/>
      <c r="G457" s="95"/>
      <c r="H457" s="95"/>
      <c r="I457" s="103"/>
      <c r="J457" s="95"/>
      <c r="K457" s="95"/>
      <c r="L457" s="104"/>
      <c r="M457" s="104"/>
      <c r="N457" s="95"/>
      <c r="O457" s="95"/>
      <c r="P457" s="95"/>
      <c r="Q457" s="95"/>
      <c r="R457" s="95"/>
      <c r="S457" s="95"/>
      <c r="T457" s="95"/>
      <c r="U457" s="95"/>
      <c r="V457" s="95"/>
      <c r="W457" s="95"/>
      <c r="X457" s="95"/>
      <c r="Y457" s="95"/>
      <c r="Z457" s="95"/>
      <c r="AA457" s="95"/>
      <c r="AB457" s="95"/>
      <c r="AC457" s="95"/>
    </row>
    <row r="458" ht="15.75" customHeight="1" spans="1:29">
      <c r="A458" s="95"/>
      <c r="B458" s="95"/>
      <c r="C458" s="102"/>
      <c r="D458" s="95"/>
      <c r="E458" s="95"/>
      <c r="F458" s="95"/>
      <c r="G458" s="95"/>
      <c r="H458" s="95"/>
      <c r="I458" s="103"/>
      <c r="J458" s="95"/>
      <c r="K458" s="95"/>
      <c r="L458" s="104"/>
      <c r="M458" s="104"/>
      <c r="N458" s="95"/>
      <c r="O458" s="95"/>
      <c r="P458" s="95"/>
      <c r="Q458" s="95"/>
      <c r="R458" s="95"/>
      <c r="S458" s="95"/>
      <c r="T458" s="95"/>
      <c r="U458" s="95"/>
      <c r="V458" s="95"/>
      <c r="W458" s="95"/>
      <c r="X458" s="95"/>
      <c r="Y458" s="95"/>
      <c r="Z458" s="95"/>
      <c r="AA458" s="95"/>
      <c r="AB458" s="95"/>
      <c r="AC458" s="95"/>
    </row>
    <row r="459" ht="15.75" customHeight="1" spans="1:29">
      <c r="A459" s="95"/>
      <c r="B459" s="95"/>
      <c r="C459" s="102"/>
      <c r="D459" s="95"/>
      <c r="E459" s="95"/>
      <c r="F459" s="95"/>
      <c r="G459" s="95"/>
      <c r="H459" s="95"/>
      <c r="I459" s="103"/>
      <c r="J459" s="95"/>
      <c r="K459" s="95"/>
      <c r="L459" s="104"/>
      <c r="M459" s="104"/>
      <c r="N459" s="95"/>
      <c r="O459" s="95"/>
      <c r="P459" s="95"/>
      <c r="Q459" s="95"/>
      <c r="R459" s="95"/>
      <c r="S459" s="95"/>
      <c r="T459" s="95"/>
      <c r="U459" s="95"/>
      <c r="V459" s="95"/>
      <c r="W459" s="95"/>
      <c r="X459" s="95"/>
      <c r="Y459" s="95"/>
      <c r="Z459" s="95"/>
      <c r="AA459" s="95"/>
      <c r="AB459" s="95"/>
      <c r="AC459" s="95"/>
    </row>
    <row r="460" ht="15.75" customHeight="1" spans="1:29">
      <c r="A460" s="95"/>
      <c r="B460" s="95"/>
      <c r="C460" s="102"/>
      <c r="D460" s="95"/>
      <c r="E460" s="95"/>
      <c r="F460" s="95"/>
      <c r="G460" s="95"/>
      <c r="H460" s="95"/>
      <c r="I460" s="103"/>
      <c r="J460" s="95"/>
      <c r="K460" s="95"/>
      <c r="L460" s="104"/>
      <c r="M460" s="104"/>
      <c r="N460" s="95"/>
      <c r="O460" s="95"/>
      <c r="P460" s="95"/>
      <c r="Q460" s="95"/>
      <c r="R460" s="95"/>
      <c r="S460" s="95"/>
      <c r="T460" s="95"/>
      <c r="U460" s="95"/>
      <c r="V460" s="95"/>
      <c r="W460" s="95"/>
      <c r="X460" s="95"/>
      <c r="Y460" s="95"/>
      <c r="Z460" s="95"/>
      <c r="AA460" s="95"/>
      <c r="AB460" s="95"/>
      <c r="AC460" s="95"/>
    </row>
    <row r="461" ht="15.75" customHeight="1" spans="1:29">
      <c r="A461" s="95"/>
      <c r="B461" s="95"/>
      <c r="C461" s="102"/>
      <c r="D461" s="95"/>
      <c r="E461" s="95"/>
      <c r="F461" s="95"/>
      <c r="G461" s="95"/>
      <c r="H461" s="95"/>
      <c r="I461" s="103"/>
      <c r="J461" s="95"/>
      <c r="K461" s="95"/>
      <c r="L461" s="104"/>
      <c r="M461" s="104"/>
      <c r="N461" s="95"/>
      <c r="O461" s="95"/>
      <c r="P461" s="95"/>
      <c r="Q461" s="95"/>
      <c r="R461" s="95"/>
      <c r="S461" s="95"/>
      <c r="T461" s="95"/>
      <c r="U461" s="95"/>
      <c r="V461" s="95"/>
      <c r="W461" s="95"/>
      <c r="X461" s="95"/>
      <c r="Y461" s="95"/>
      <c r="Z461" s="95"/>
      <c r="AA461" s="95"/>
      <c r="AB461" s="95"/>
      <c r="AC461" s="95"/>
    </row>
    <row r="462" ht="15.75" customHeight="1" spans="1:29">
      <c r="A462" s="95"/>
      <c r="B462" s="95"/>
      <c r="C462" s="102"/>
      <c r="D462" s="95"/>
      <c r="E462" s="95"/>
      <c r="F462" s="95"/>
      <c r="G462" s="95"/>
      <c r="H462" s="95"/>
      <c r="I462" s="103"/>
      <c r="J462" s="95"/>
      <c r="K462" s="95"/>
      <c r="L462" s="106"/>
      <c r="M462" s="104"/>
      <c r="N462" s="95"/>
      <c r="O462" s="95"/>
      <c r="P462" s="95"/>
      <c r="Q462" s="95"/>
      <c r="R462" s="95"/>
      <c r="S462" s="95"/>
      <c r="T462" s="95"/>
      <c r="U462" s="95"/>
      <c r="V462" s="95"/>
      <c r="W462" s="95"/>
      <c r="X462" s="95"/>
      <c r="Y462" s="95"/>
      <c r="Z462" s="95"/>
      <c r="AA462" s="95"/>
      <c r="AB462" s="95"/>
      <c r="AC462" s="95"/>
    </row>
    <row r="463" ht="15.75" customHeight="1" spans="1:29">
      <c r="A463" s="95"/>
      <c r="B463" s="95"/>
      <c r="C463" s="102"/>
      <c r="D463" s="95"/>
      <c r="E463" s="95"/>
      <c r="F463" s="95"/>
      <c r="G463" s="95"/>
      <c r="H463" s="95"/>
      <c r="I463" s="103"/>
      <c r="J463" s="95"/>
      <c r="K463" s="95"/>
      <c r="L463" s="104"/>
      <c r="M463" s="106"/>
      <c r="N463" s="95"/>
      <c r="O463" s="95"/>
      <c r="P463" s="95"/>
      <c r="Q463" s="95"/>
      <c r="R463" s="95"/>
      <c r="S463" s="95"/>
      <c r="T463" s="95"/>
      <c r="U463" s="95"/>
      <c r="V463" s="95"/>
      <c r="W463" s="95"/>
      <c r="X463" s="95"/>
      <c r="Y463" s="95"/>
      <c r="Z463" s="95"/>
      <c r="AA463" s="95"/>
      <c r="AB463" s="95"/>
      <c r="AC463" s="95"/>
    </row>
    <row r="464" ht="15.75" customHeight="1" spans="1:29">
      <c r="A464" s="95"/>
      <c r="B464" s="95"/>
      <c r="C464" s="102"/>
      <c r="D464" s="95"/>
      <c r="E464" s="95"/>
      <c r="F464" s="95"/>
      <c r="G464" s="95"/>
      <c r="H464" s="95"/>
      <c r="I464" s="105"/>
      <c r="J464" s="95"/>
      <c r="K464" s="95"/>
      <c r="L464" s="104"/>
      <c r="M464" s="104"/>
      <c r="N464" s="95"/>
      <c r="O464" s="95"/>
      <c r="P464" s="95"/>
      <c r="Q464" s="95"/>
      <c r="R464" s="95"/>
      <c r="S464" s="95"/>
      <c r="T464" s="95"/>
      <c r="U464" s="95"/>
      <c r="V464" s="95"/>
      <c r="W464" s="95"/>
      <c r="X464" s="95"/>
      <c r="Y464" s="95"/>
      <c r="Z464" s="95"/>
      <c r="AA464" s="95"/>
      <c r="AB464" s="95"/>
      <c r="AC464" s="95"/>
    </row>
    <row r="465" ht="15.75" customHeight="1" spans="1:29">
      <c r="A465" s="95"/>
      <c r="B465" s="95"/>
      <c r="C465" s="102"/>
      <c r="D465" s="95"/>
      <c r="E465" s="95"/>
      <c r="F465" s="95"/>
      <c r="G465" s="95"/>
      <c r="H465" s="95"/>
      <c r="I465" s="105"/>
      <c r="J465" s="95"/>
      <c r="K465" s="95"/>
      <c r="L465" s="104"/>
      <c r="M465" s="104"/>
      <c r="N465" s="95"/>
      <c r="O465" s="95"/>
      <c r="P465" s="95"/>
      <c r="Q465" s="95"/>
      <c r="R465" s="95"/>
      <c r="S465" s="95"/>
      <c r="T465" s="95"/>
      <c r="U465" s="95"/>
      <c r="V465" s="95"/>
      <c r="W465" s="95"/>
      <c r="X465" s="95"/>
      <c r="Y465" s="95"/>
      <c r="Z465" s="95"/>
      <c r="AA465" s="95"/>
      <c r="AB465" s="95"/>
      <c r="AC465" s="95"/>
    </row>
    <row r="466" ht="15.75" customHeight="1" spans="1:29">
      <c r="A466" s="95"/>
      <c r="B466" s="95"/>
      <c r="C466" s="102"/>
      <c r="D466" s="95"/>
      <c r="E466" s="95"/>
      <c r="F466" s="95"/>
      <c r="G466" s="95"/>
      <c r="H466" s="95"/>
      <c r="I466" s="105"/>
      <c r="J466" s="95"/>
      <c r="K466" s="95"/>
      <c r="L466" s="104"/>
      <c r="M466" s="104"/>
      <c r="N466" s="95"/>
      <c r="O466" s="95"/>
      <c r="P466" s="95"/>
      <c r="Q466" s="95"/>
      <c r="R466" s="95"/>
      <c r="S466" s="95"/>
      <c r="T466" s="95"/>
      <c r="U466" s="95"/>
      <c r="V466" s="95"/>
      <c r="W466" s="95"/>
      <c r="X466" s="95"/>
      <c r="Y466" s="95"/>
      <c r="Z466" s="95"/>
      <c r="AA466" s="95"/>
      <c r="AB466" s="95"/>
      <c r="AC466" s="95"/>
    </row>
    <row r="467" ht="15.75" customHeight="1" spans="1:29">
      <c r="A467" s="95"/>
      <c r="B467" s="95"/>
      <c r="C467" s="102"/>
      <c r="D467" s="95"/>
      <c r="E467" s="95"/>
      <c r="F467" s="95"/>
      <c r="G467" s="95"/>
      <c r="H467" s="95"/>
      <c r="I467" s="105"/>
      <c r="J467" s="95"/>
      <c r="K467" s="95"/>
      <c r="L467" s="106"/>
      <c r="M467" s="104"/>
      <c r="N467" s="95"/>
      <c r="O467" s="95"/>
      <c r="P467" s="95"/>
      <c r="Q467" s="95"/>
      <c r="R467" s="95"/>
      <c r="S467" s="95"/>
      <c r="T467" s="95"/>
      <c r="U467" s="95"/>
      <c r="V467" s="95"/>
      <c r="W467" s="95"/>
      <c r="X467" s="95"/>
      <c r="Y467" s="95"/>
      <c r="Z467" s="95"/>
      <c r="AA467" s="95"/>
      <c r="AB467" s="95"/>
      <c r="AC467" s="95"/>
    </row>
    <row r="468" ht="15.75" customHeight="1" spans="1:29">
      <c r="A468" s="95"/>
      <c r="B468" s="95"/>
      <c r="C468" s="102"/>
      <c r="D468" s="95"/>
      <c r="E468" s="95"/>
      <c r="F468" s="95"/>
      <c r="G468" s="95"/>
      <c r="H468" s="95"/>
      <c r="I468" s="105"/>
      <c r="J468" s="95"/>
      <c r="K468" s="95"/>
      <c r="L468" s="104"/>
      <c r="M468" s="104"/>
      <c r="N468" s="95"/>
      <c r="O468" s="95"/>
      <c r="P468" s="95"/>
      <c r="Q468" s="95"/>
      <c r="R468" s="95"/>
      <c r="S468" s="95"/>
      <c r="T468" s="95"/>
      <c r="U468" s="95"/>
      <c r="V468" s="95"/>
      <c r="W468" s="95"/>
      <c r="X468" s="95"/>
      <c r="Y468" s="95"/>
      <c r="Z468" s="95"/>
      <c r="AA468" s="95"/>
      <c r="AB468" s="95"/>
      <c r="AC468" s="95"/>
    </row>
    <row r="469" ht="15.75" customHeight="1" spans="1:29">
      <c r="A469" s="95"/>
      <c r="B469" s="95"/>
      <c r="C469" s="102"/>
      <c r="D469" s="95"/>
      <c r="E469" s="95"/>
      <c r="F469" s="95"/>
      <c r="G469" s="95"/>
      <c r="H469" s="95"/>
      <c r="I469" s="105"/>
      <c r="J469" s="95"/>
      <c r="K469" s="95"/>
      <c r="L469" s="104"/>
      <c r="M469" s="104"/>
      <c r="N469" s="95"/>
      <c r="O469" s="95"/>
      <c r="P469" s="95"/>
      <c r="Q469" s="95"/>
      <c r="R469" s="95"/>
      <c r="S469" s="95"/>
      <c r="T469" s="95"/>
      <c r="U469" s="95"/>
      <c r="V469" s="95"/>
      <c r="W469" s="95"/>
      <c r="X469" s="95"/>
      <c r="Y469" s="95"/>
      <c r="Z469" s="95"/>
      <c r="AA469" s="95"/>
      <c r="AB469" s="95"/>
      <c r="AC469" s="95"/>
    </row>
    <row r="470" ht="15.75" customHeight="1" spans="1:29">
      <c r="A470" s="95"/>
      <c r="B470" s="95"/>
      <c r="C470" s="102"/>
      <c r="D470" s="95"/>
      <c r="E470" s="95"/>
      <c r="F470" s="95"/>
      <c r="G470" s="95"/>
      <c r="H470" s="95"/>
      <c r="I470" s="105"/>
      <c r="J470" s="95"/>
      <c r="K470" s="95"/>
      <c r="L470" s="104"/>
      <c r="M470" s="104"/>
      <c r="N470" s="95"/>
      <c r="O470" s="95"/>
      <c r="P470" s="95"/>
      <c r="Q470" s="95"/>
      <c r="R470" s="95"/>
      <c r="S470" s="95"/>
      <c r="T470" s="95"/>
      <c r="U470" s="95"/>
      <c r="V470" s="95"/>
      <c r="W470" s="95"/>
      <c r="X470" s="95"/>
      <c r="Y470" s="95"/>
      <c r="Z470" s="95"/>
      <c r="AA470" s="95"/>
      <c r="AB470" s="95"/>
      <c r="AC470" s="95"/>
    </row>
    <row r="471" ht="15.75" customHeight="1" spans="1:29">
      <c r="A471" s="95"/>
      <c r="B471" s="95"/>
      <c r="C471" s="102"/>
      <c r="D471" s="95"/>
      <c r="E471" s="95"/>
      <c r="F471" s="95"/>
      <c r="G471" s="95"/>
      <c r="H471" s="95"/>
      <c r="I471" s="105"/>
      <c r="J471" s="95"/>
      <c r="K471" s="95"/>
      <c r="L471" s="106"/>
      <c r="M471" s="106"/>
      <c r="N471" s="95"/>
      <c r="O471" s="95"/>
      <c r="P471" s="95"/>
      <c r="Q471" s="95"/>
      <c r="R471" s="95"/>
      <c r="S471" s="95"/>
      <c r="T471" s="95"/>
      <c r="U471" s="95"/>
      <c r="V471" s="95"/>
      <c r="W471" s="95"/>
      <c r="X471" s="95"/>
      <c r="Y471" s="95"/>
      <c r="Z471" s="95"/>
      <c r="AA471" s="95"/>
      <c r="AB471" s="95"/>
      <c r="AC471" s="95"/>
    </row>
    <row r="472" ht="15.75" customHeight="1" spans="1:29">
      <c r="A472" s="95"/>
      <c r="B472" s="95"/>
      <c r="C472" s="102"/>
      <c r="D472" s="95"/>
      <c r="E472" s="95"/>
      <c r="F472" s="95"/>
      <c r="G472" s="95"/>
      <c r="H472" s="95"/>
      <c r="I472" s="105"/>
      <c r="J472" s="95"/>
      <c r="K472" s="95"/>
      <c r="L472" s="104"/>
      <c r="M472" s="104"/>
      <c r="N472" s="95"/>
      <c r="O472" s="95"/>
      <c r="P472" s="95"/>
      <c r="Q472" s="95"/>
      <c r="R472" s="95"/>
      <c r="S472" s="95"/>
      <c r="T472" s="95"/>
      <c r="U472" s="95"/>
      <c r="V472" s="95"/>
      <c r="W472" s="95"/>
      <c r="X472" s="95"/>
      <c r="Y472" s="95"/>
      <c r="Z472" s="95"/>
      <c r="AA472" s="95"/>
      <c r="AB472" s="95"/>
      <c r="AC472" s="95"/>
    </row>
    <row r="473" ht="15.75" customHeight="1" spans="1:29">
      <c r="A473" s="95"/>
      <c r="B473" s="95"/>
      <c r="C473" s="102"/>
      <c r="D473" s="95"/>
      <c r="E473" s="95"/>
      <c r="F473" s="95"/>
      <c r="G473" s="95"/>
      <c r="H473" s="95"/>
      <c r="I473" s="105"/>
      <c r="J473" s="95"/>
      <c r="K473" s="95"/>
      <c r="L473" s="104"/>
      <c r="M473" s="104"/>
      <c r="N473" s="95"/>
      <c r="O473" s="95"/>
      <c r="P473" s="95"/>
      <c r="Q473" s="95"/>
      <c r="R473" s="95"/>
      <c r="S473" s="95"/>
      <c r="T473" s="95"/>
      <c r="U473" s="95"/>
      <c r="V473" s="95"/>
      <c r="W473" s="95"/>
      <c r="X473" s="95"/>
      <c r="Y473" s="95"/>
      <c r="Z473" s="95"/>
      <c r="AA473" s="95"/>
      <c r="AB473" s="95"/>
      <c r="AC473" s="95"/>
    </row>
    <row r="474" ht="15.75" customHeight="1" spans="1:29">
      <c r="A474" s="95"/>
      <c r="B474" s="95"/>
      <c r="C474" s="102"/>
      <c r="D474" s="95"/>
      <c r="E474" s="95"/>
      <c r="F474" s="95"/>
      <c r="G474" s="95"/>
      <c r="H474" s="95"/>
      <c r="I474" s="105"/>
      <c r="J474" s="95"/>
      <c r="K474" s="95"/>
      <c r="L474" s="106"/>
      <c r="M474" s="104"/>
      <c r="N474" s="95"/>
      <c r="O474" s="95"/>
      <c r="P474" s="95"/>
      <c r="Q474" s="95"/>
      <c r="R474" s="95"/>
      <c r="S474" s="95"/>
      <c r="T474" s="95"/>
      <c r="U474" s="95"/>
      <c r="V474" s="95"/>
      <c r="W474" s="95"/>
      <c r="X474" s="95"/>
      <c r="Y474" s="95"/>
      <c r="Z474" s="95"/>
      <c r="AA474" s="95"/>
      <c r="AB474" s="95"/>
      <c r="AC474" s="95"/>
    </row>
    <row r="475" ht="15.75" customHeight="1" spans="1:29">
      <c r="A475" s="95"/>
      <c r="B475" s="95"/>
      <c r="C475" s="102"/>
      <c r="D475" s="95"/>
      <c r="E475" s="95"/>
      <c r="F475" s="95"/>
      <c r="G475" s="95"/>
      <c r="H475" s="95"/>
      <c r="I475" s="105"/>
      <c r="J475" s="95"/>
      <c r="K475" s="95"/>
      <c r="L475" s="104"/>
      <c r="M475" s="104"/>
      <c r="N475" s="95"/>
      <c r="O475" s="95"/>
      <c r="P475" s="95"/>
      <c r="Q475" s="95"/>
      <c r="R475" s="95"/>
      <c r="S475" s="95"/>
      <c r="T475" s="95"/>
      <c r="U475" s="95"/>
      <c r="V475" s="95"/>
      <c r="W475" s="95"/>
      <c r="X475" s="95"/>
      <c r="Y475" s="95"/>
      <c r="Z475" s="95"/>
      <c r="AA475" s="95"/>
      <c r="AB475" s="95"/>
      <c r="AC475" s="95"/>
    </row>
    <row r="476" ht="15.75" customHeight="1" spans="1:29">
      <c r="A476" s="95"/>
      <c r="B476" s="95"/>
      <c r="C476" s="102"/>
      <c r="D476" s="95"/>
      <c r="E476" s="95"/>
      <c r="F476" s="95"/>
      <c r="G476" s="95"/>
      <c r="H476" s="95"/>
      <c r="I476" s="105"/>
      <c r="J476" s="95"/>
      <c r="K476" s="95"/>
      <c r="L476" s="104"/>
      <c r="M476" s="104"/>
      <c r="N476" s="95"/>
      <c r="O476" s="95"/>
      <c r="P476" s="95"/>
      <c r="Q476" s="95"/>
      <c r="R476" s="95"/>
      <c r="S476" s="95"/>
      <c r="T476" s="95"/>
      <c r="U476" s="95"/>
      <c r="V476" s="95"/>
      <c r="W476" s="95"/>
      <c r="X476" s="95"/>
      <c r="Y476" s="95"/>
      <c r="Z476" s="95"/>
      <c r="AA476" s="95"/>
      <c r="AB476" s="95"/>
      <c r="AC476" s="95"/>
    </row>
    <row r="477" ht="15.75" customHeight="1" spans="1:29">
      <c r="A477" s="95"/>
      <c r="B477" s="95"/>
      <c r="C477" s="102"/>
      <c r="D477" s="95"/>
      <c r="E477" s="95"/>
      <c r="F477" s="95"/>
      <c r="G477" s="95"/>
      <c r="H477" s="95"/>
      <c r="I477" s="105"/>
      <c r="J477" s="95"/>
      <c r="K477" s="95"/>
      <c r="L477" s="104"/>
      <c r="M477" s="104"/>
      <c r="N477" s="95"/>
      <c r="O477" s="95"/>
      <c r="P477" s="95"/>
      <c r="Q477" s="95"/>
      <c r="R477" s="95"/>
      <c r="S477" s="95"/>
      <c r="T477" s="95"/>
      <c r="U477" s="95"/>
      <c r="V477" s="95"/>
      <c r="W477" s="95"/>
      <c r="X477" s="95"/>
      <c r="Y477" s="95"/>
      <c r="Z477" s="95"/>
      <c r="AA477" s="95"/>
      <c r="AB477" s="95"/>
      <c r="AC477" s="95"/>
    </row>
    <row r="478" ht="15.75" customHeight="1" spans="1:29">
      <c r="A478" s="95"/>
      <c r="B478" s="95"/>
      <c r="C478" s="102"/>
      <c r="D478" s="95"/>
      <c r="E478" s="95"/>
      <c r="F478" s="95"/>
      <c r="G478" s="95"/>
      <c r="H478" s="95"/>
      <c r="I478" s="103"/>
      <c r="J478" s="95"/>
      <c r="K478" s="95"/>
      <c r="L478" s="104"/>
      <c r="M478" s="104"/>
      <c r="N478" s="95"/>
      <c r="O478" s="95"/>
      <c r="P478" s="95"/>
      <c r="Q478" s="95"/>
      <c r="R478" s="95"/>
      <c r="S478" s="95"/>
      <c r="T478" s="95"/>
      <c r="U478" s="95"/>
      <c r="V478" s="95"/>
      <c r="W478" s="95"/>
      <c r="X478" s="95"/>
      <c r="Y478" s="95"/>
      <c r="Z478" s="95"/>
      <c r="AA478" s="95"/>
      <c r="AB478" s="95"/>
      <c r="AC478" s="95"/>
    </row>
    <row r="479" ht="15.75" customHeight="1" spans="1:29">
      <c r="A479" s="95"/>
      <c r="B479" s="95"/>
      <c r="C479" s="102"/>
      <c r="D479" s="95"/>
      <c r="E479" s="95"/>
      <c r="F479" s="95"/>
      <c r="G479" s="95"/>
      <c r="H479" s="95"/>
      <c r="I479" s="103"/>
      <c r="J479" s="95"/>
      <c r="K479" s="95"/>
      <c r="L479" s="106"/>
      <c r="M479" s="104"/>
      <c r="N479" s="95"/>
      <c r="O479" s="95"/>
      <c r="P479" s="95"/>
      <c r="Q479" s="95"/>
      <c r="R479" s="95"/>
      <c r="S479" s="95"/>
      <c r="T479" s="95"/>
      <c r="U479" s="95"/>
      <c r="V479" s="95"/>
      <c r="W479" s="95"/>
      <c r="X479" s="95"/>
      <c r="Y479" s="95"/>
      <c r="Z479" s="95"/>
      <c r="AA479" s="95"/>
      <c r="AB479" s="95"/>
      <c r="AC479" s="95"/>
    </row>
    <row r="480" ht="15.75" customHeight="1" spans="1:29">
      <c r="A480" s="95"/>
      <c r="B480" s="95"/>
      <c r="C480" s="102"/>
      <c r="D480" s="95"/>
      <c r="E480" s="95"/>
      <c r="F480" s="95"/>
      <c r="G480" s="95"/>
      <c r="H480" s="95"/>
      <c r="I480" s="103"/>
      <c r="J480" s="95"/>
      <c r="K480" s="95"/>
      <c r="L480" s="104"/>
      <c r="M480" s="104"/>
      <c r="N480" s="95"/>
      <c r="O480" s="95"/>
      <c r="P480" s="95"/>
      <c r="Q480" s="95"/>
      <c r="R480" s="95"/>
      <c r="S480" s="95"/>
      <c r="T480" s="95"/>
      <c r="U480" s="95"/>
      <c r="V480" s="95"/>
      <c r="W480" s="95"/>
      <c r="X480" s="95"/>
      <c r="Y480" s="95"/>
      <c r="Z480" s="95"/>
      <c r="AA480" s="95"/>
      <c r="AB480" s="95"/>
      <c r="AC480" s="95"/>
    </row>
    <row r="481" ht="15.75" customHeight="1" spans="1:29">
      <c r="A481" s="95"/>
      <c r="B481" s="95"/>
      <c r="C481" s="102"/>
      <c r="D481" s="95"/>
      <c r="E481" s="95"/>
      <c r="F481" s="95"/>
      <c r="G481" s="95"/>
      <c r="H481" s="95"/>
      <c r="I481" s="103"/>
      <c r="J481" s="95"/>
      <c r="K481" s="95"/>
      <c r="L481" s="104"/>
      <c r="M481" s="104"/>
      <c r="N481" s="95"/>
      <c r="O481" s="95"/>
      <c r="P481" s="95"/>
      <c r="Q481" s="95"/>
      <c r="R481" s="95"/>
      <c r="S481" s="95"/>
      <c r="T481" s="95"/>
      <c r="U481" s="95"/>
      <c r="V481" s="95"/>
      <c r="W481" s="95"/>
      <c r="X481" s="95"/>
      <c r="Y481" s="95"/>
      <c r="Z481" s="95"/>
      <c r="AA481" s="95"/>
      <c r="AB481" s="95"/>
      <c r="AC481" s="95"/>
    </row>
    <row r="482" ht="15.75" customHeight="1" spans="1:29">
      <c r="A482" s="95"/>
      <c r="B482" s="95"/>
      <c r="C482" s="102"/>
      <c r="D482" s="95"/>
      <c r="E482" s="95"/>
      <c r="F482" s="95"/>
      <c r="G482" s="95"/>
      <c r="H482" s="95"/>
      <c r="I482" s="103"/>
      <c r="J482" s="95"/>
      <c r="K482" s="95"/>
      <c r="L482" s="106"/>
      <c r="M482" s="104"/>
      <c r="N482" s="95"/>
      <c r="O482" s="95"/>
      <c r="P482" s="95"/>
      <c r="Q482" s="95"/>
      <c r="R482" s="95"/>
      <c r="S482" s="95"/>
      <c r="T482" s="95"/>
      <c r="U482" s="95"/>
      <c r="V482" s="95"/>
      <c r="W482" s="95"/>
      <c r="X482" s="95"/>
      <c r="Y482" s="95"/>
      <c r="Z482" s="95"/>
      <c r="AA482" s="95"/>
      <c r="AB482" s="95"/>
      <c r="AC482" s="95"/>
    </row>
    <row r="483" ht="15.75" customHeight="1" spans="1:29">
      <c r="A483" s="95"/>
      <c r="B483" s="95"/>
      <c r="C483" s="102"/>
      <c r="D483" s="95"/>
      <c r="E483" s="95"/>
      <c r="F483" s="95"/>
      <c r="G483" s="95"/>
      <c r="H483" s="95"/>
      <c r="I483" s="103"/>
      <c r="J483" s="95"/>
      <c r="K483" s="95"/>
      <c r="L483" s="104"/>
      <c r="M483" s="104"/>
      <c r="N483" s="95"/>
      <c r="O483" s="95"/>
      <c r="P483" s="95"/>
      <c r="Q483" s="95"/>
      <c r="R483" s="95"/>
      <c r="S483" s="95"/>
      <c r="T483" s="95"/>
      <c r="U483" s="95"/>
      <c r="V483" s="95"/>
      <c r="W483" s="95"/>
      <c r="X483" s="95"/>
      <c r="Y483" s="95"/>
      <c r="Z483" s="95"/>
      <c r="AA483" s="95"/>
      <c r="AB483" s="95"/>
      <c r="AC483" s="95"/>
    </row>
    <row r="484" ht="15.75" customHeight="1" spans="1:29">
      <c r="A484" s="95"/>
      <c r="B484" s="95"/>
      <c r="C484" s="102"/>
      <c r="D484" s="95"/>
      <c r="E484" s="95"/>
      <c r="F484" s="95"/>
      <c r="G484" s="95"/>
      <c r="H484" s="95"/>
      <c r="I484" s="103"/>
      <c r="J484" s="95"/>
      <c r="K484" s="95"/>
      <c r="L484" s="104"/>
      <c r="M484" s="106"/>
      <c r="N484" s="95"/>
      <c r="O484" s="95"/>
      <c r="P484" s="95"/>
      <c r="Q484" s="95"/>
      <c r="R484" s="95"/>
      <c r="S484" s="95"/>
      <c r="T484" s="95"/>
      <c r="U484" s="95"/>
      <c r="V484" s="95"/>
      <c r="W484" s="95"/>
      <c r="X484" s="95"/>
      <c r="Y484" s="95"/>
      <c r="Z484" s="95"/>
      <c r="AA484" s="95"/>
      <c r="AB484" s="95"/>
      <c r="AC484" s="95"/>
    </row>
    <row r="485" ht="15.75" customHeight="1" spans="1:29">
      <c r="A485" s="95"/>
      <c r="B485" s="95"/>
      <c r="C485" s="102"/>
      <c r="D485" s="95"/>
      <c r="E485" s="95"/>
      <c r="F485" s="95"/>
      <c r="G485" s="95"/>
      <c r="H485" s="95"/>
      <c r="I485" s="103"/>
      <c r="J485" s="95"/>
      <c r="K485" s="95"/>
      <c r="L485" s="104"/>
      <c r="M485" s="104"/>
      <c r="N485" s="95"/>
      <c r="O485" s="95"/>
      <c r="P485" s="95"/>
      <c r="Q485" s="95"/>
      <c r="R485" s="95"/>
      <c r="S485" s="95"/>
      <c r="T485" s="95"/>
      <c r="U485" s="95"/>
      <c r="V485" s="95"/>
      <c r="W485" s="95"/>
      <c r="X485" s="95"/>
      <c r="Y485" s="95"/>
      <c r="Z485" s="95"/>
      <c r="AA485" s="95"/>
      <c r="AB485" s="95"/>
      <c r="AC485" s="95"/>
    </row>
    <row r="486" ht="15.75" customHeight="1" spans="1:29">
      <c r="A486" s="95"/>
      <c r="B486" s="95"/>
      <c r="C486" s="102"/>
      <c r="D486" s="95"/>
      <c r="E486" s="95"/>
      <c r="F486" s="95"/>
      <c r="G486" s="95"/>
      <c r="H486" s="95"/>
      <c r="I486" s="103"/>
      <c r="J486" s="95"/>
      <c r="K486" s="95"/>
      <c r="L486" s="104"/>
      <c r="M486" s="104"/>
      <c r="N486" s="95"/>
      <c r="O486" s="95"/>
      <c r="P486" s="95"/>
      <c r="Q486" s="95"/>
      <c r="R486" s="95"/>
      <c r="S486" s="95"/>
      <c r="T486" s="95"/>
      <c r="U486" s="95"/>
      <c r="V486" s="95"/>
      <c r="W486" s="95"/>
      <c r="X486" s="95"/>
      <c r="Y486" s="95"/>
      <c r="Z486" s="95"/>
      <c r="AA486" s="95"/>
      <c r="AB486" s="95"/>
      <c r="AC486" s="95"/>
    </row>
    <row r="487" ht="15.75" customHeight="1" spans="1:29">
      <c r="A487" s="95"/>
      <c r="B487" s="95"/>
      <c r="C487" s="102"/>
      <c r="D487" s="95"/>
      <c r="E487" s="95"/>
      <c r="F487" s="95"/>
      <c r="G487" s="95"/>
      <c r="H487" s="95"/>
      <c r="I487" s="103"/>
      <c r="J487" s="95"/>
      <c r="K487" s="95"/>
      <c r="L487" s="104"/>
      <c r="M487" s="104"/>
      <c r="N487" s="95"/>
      <c r="O487" s="95"/>
      <c r="P487" s="95"/>
      <c r="Q487" s="95"/>
      <c r="R487" s="95"/>
      <c r="S487" s="95"/>
      <c r="T487" s="95"/>
      <c r="U487" s="95"/>
      <c r="V487" s="95"/>
      <c r="W487" s="95"/>
      <c r="X487" s="95"/>
      <c r="Y487" s="95"/>
      <c r="Z487" s="95"/>
      <c r="AA487" s="95"/>
      <c r="AB487" s="95"/>
      <c r="AC487" s="95"/>
    </row>
    <row r="488" ht="15.75" customHeight="1" spans="1:29">
      <c r="A488" s="95"/>
      <c r="B488" s="95"/>
      <c r="C488" s="102"/>
      <c r="D488" s="95"/>
      <c r="E488" s="95"/>
      <c r="F488" s="95"/>
      <c r="G488" s="95"/>
      <c r="H488" s="95"/>
      <c r="I488" s="103"/>
      <c r="J488" s="95"/>
      <c r="K488" s="95"/>
      <c r="L488" s="104"/>
      <c r="M488" s="104"/>
      <c r="N488" s="95"/>
      <c r="O488" s="95"/>
      <c r="P488" s="95"/>
      <c r="Q488" s="95"/>
      <c r="R488" s="95"/>
      <c r="S488" s="95"/>
      <c r="T488" s="95"/>
      <c r="U488" s="95"/>
      <c r="V488" s="95"/>
      <c r="W488" s="95"/>
      <c r="X488" s="95"/>
      <c r="Y488" s="95"/>
      <c r="Z488" s="95"/>
      <c r="AA488" s="95"/>
      <c r="AB488" s="95"/>
      <c r="AC488" s="95"/>
    </row>
    <row r="489" ht="15.75" customHeight="1" spans="1:29">
      <c r="A489" s="95"/>
      <c r="B489" s="95"/>
      <c r="C489" s="102"/>
      <c r="D489" s="95"/>
      <c r="E489" s="95"/>
      <c r="F489" s="95"/>
      <c r="G489" s="95"/>
      <c r="H489" s="95"/>
      <c r="I489" s="103"/>
      <c r="J489" s="95"/>
      <c r="K489" s="95"/>
      <c r="L489" s="106"/>
      <c r="M489" s="106"/>
      <c r="N489" s="95"/>
      <c r="O489" s="95"/>
      <c r="P489" s="95"/>
      <c r="Q489" s="95"/>
      <c r="R489" s="95"/>
      <c r="S489" s="95"/>
      <c r="T489" s="95"/>
      <c r="U489" s="95"/>
      <c r="V489" s="95"/>
      <c r="W489" s="95"/>
      <c r="X489" s="95"/>
      <c r="Y489" s="95"/>
      <c r="Z489" s="95"/>
      <c r="AA489" s="95"/>
      <c r="AB489" s="95"/>
      <c r="AC489" s="95"/>
    </row>
    <row r="490" ht="15.75" customHeight="1" spans="1:29">
      <c r="A490" s="95"/>
      <c r="B490" s="95"/>
      <c r="C490" s="102"/>
      <c r="D490" s="95"/>
      <c r="E490" s="95"/>
      <c r="F490" s="95"/>
      <c r="G490" s="95"/>
      <c r="H490" s="95"/>
      <c r="I490" s="103"/>
      <c r="J490" s="95"/>
      <c r="K490" s="95"/>
      <c r="L490" s="104"/>
      <c r="M490" s="104"/>
      <c r="N490" s="95"/>
      <c r="O490" s="95"/>
      <c r="P490" s="95"/>
      <c r="Q490" s="95"/>
      <c r="R490" s="95"/>
      <c r="S490" s="95"/>
      <c r="T490" s="95"/>
      <c r="U490" s="95"/>
      <c r="V490" s="95"/>
      <c r="W490" s="95"/>
      <c r="X490" s="95"/>
      <c r="Y490" s="95"/>
      <c r="Z490" s="95"/>
      <c r="AA490" s="95"/>
      <c r="AB490" s="95"/>
      <c r="AC490" s="95"/>
    </row>
    <row r="491" ht="15.75" customHeight="1" spans="1:29">
      <c r="A491" s="95"/>
      <c r="B491" s="95"/>
      <c r="C491" s="102"/>
      <c r="D491" s="95"/>
      <c r="E491" s="95"/>
      <c r="F491" s="95"/>
      <c r="G491" s="95"/>
      <c r="H491" s="95"/>
      <c r="I491" s="103"/>
      <c r="J491" s="95"/>
      <c r="K491" s="95"/>
      <c r="L491" s="104"/>
      <c r="M491" s="104"/>
      <c r="N491" s="95"/>
      <c r="O491" s="95"/>
      <c r="P491" s="95"/>
      <c r="Q491" s="95"/>
      <c r="R491" s="95"/>
      <c r="S491" s="95"/>
      <c r="T491" s="95"/>
      <c r="U491" s="95"/>
      <c r="V491" s="95"/>
      <c r="W491" s="95"/>
      <c r="X491" s="95"/>
      <c r="Y491" s="95"/>
      <c r="Z491" s="95"/>
      <c r="AA491" s="95"/>
      <c r="AB491" s="95"/>
      <c r="AC491" s="95"/>
    </row>
    <row r="492" ht="15.75" customHeight="1" spans="1:29">
      <c r="A492" s="95"/>
      <c r="B492" s="95"/>
      <c r="C492" s="102"/>
      <c r="D492" s="95"/>
      <c r="E492" s="95"/>
      <c r="F492" s="95"/>
      <c r="G492" s="95"/>
      <c r="H492" s="95"/>
      <c r="I492" s="103"/>
      <c r="J492" s="95"/>
      <c r="K492" s="95"/>
      <c r="L492" s="104"/>
      <c r="M492" s="104"/>
      <c r="N492" s="95"/>
      <c r="O492" s="95"/>
      <c r="P492" s="95"/>
      <c r="Q492" s="95"/>
      <c r="R492" s="95"/>
      <c r="S492" s="95"/>
      <c r="T492" s="95"/>
      <c r="U492" s="95"/>
      <c r="V492" s="95"/>
      <c r="W492" s="95"/>
      <c r="X492" s="95"/>
      <c r="Y492" s="95"/>
      <c r="Z492" s="95"/>
      <c r="AA492" s="95"/>
      <c r="AB492" s="95"/>
      <c r="AC492" s="95"/>
    </row>
    <row r="493" ht="15.75" customHeight="1" spans="1:29">
      <c r="A493" s="95"/>
      <c r="B493" s="95"/>
      <c r="C493" s="102"/>
      <c r="D493" s="95"/>
      <c r="E493" s="95"/>
      <c r="F493" s="95"/>
      <c r="G493" s="95"/>
      <c r="H493" s="95"/>
      <c r="I493" s="103"/>
      <c r="J493" s="95"/>
      <c r="K493" s="95"/>
      <c r="L493" s="104"/>
      <c r="M493" s="104"/>
      <c r="N493" s="95"/>
      <c r="O493" s="95"/>
      <c r="P493" s="95"/>
      <c r="Q493" s="95"/>
      <c r="R493" s="95"/>
      <c r="S493" s="95"/>
      <c r="T493" s="95"/>
      <c r="U493" s="95"/>
      <c r="V493" s="95"/>
      <c r="W493" s="95"/>
      <c r="X493" s="95"/>
      <c r="Y493" s="95"/>
      <c r="Z493" s="95"/>
      <c r="AA493" s="95"/>
      <c r="AB493" s="95"/>
      <c r="AC493" s="95"/>
    </row>
    <row r="494" ht="15.75" customHeight="1" spans="1:29">
      <c r="A494" s="95"/>
      <c r="B494" s="95"/>
      <c r="C494" s="102"/>
      <c r="D494" s="95"/>
      <c r="E494" s="95"/>
      <c r="F494" s="95"/>
      <c r="G494" s="95"/>
      <c r="H494" s="95"/>
      <c r="I494" s="103"/>
      <c r="J494" s="95"/>
      <c r="K494" s="95"/>
      <c r="L494" s="104"/>
      <c r="M494" s="104"/>
      <c r="N494" s="95"/>
      <c r="O494" s="95"/>
      <c r="P494" s="95"/>
      <c r="Q494" s="95"/>
      <c r="R494" s="95"/>
      <c r="S494" s="95"/>
      <c r="T494" s="95"/>
      <c r="U494" s="95"/>
      <c r="V494" s="95"/>
      <c r="W494" s="95"/>
      <c r="X494" s="95"/>
      <c r="Y494" s="95"/>
      <c r="Z494" s="95"/>
      <c r="AA494" s="95"/>
      <c r="AB494" s="95"/>
      <c r="AC494" s="95"/>
    </row>
    <row r="495" ht="15.75" customHeight="1" spans="1:29">
      <c r="A495" s="95"/>
      <c r="B495" s="95"/>
      <c r="C495" s="102"/>
      <c r="D495" s="95"/>
      <c r="E495" s="95"/>
      <c r="F495" s="95"/>
      <c r="G495" s="95"/>
      <c r="H495" s="95"/>
      <c r="I495" s="105"/>
      <c r="J495" s="95"/>
      <c r="K495" s="95"/>
      <c r="L495" s="104"/>
      <c r="M495" s="104"/>
      <c r="N495" s="95"/>
      <c r="O495" s="95"/>
      <c r="P495" s="95"/>
      <c r="Q495" s="95"/>
      <c r="R495" s="95"/>
      <c r="S495" s="95"/>
      <c r="T495" s="95"/>
      <c r="U495" s="95"/>
      <c r="V495" s="95"/>
      <c r="W495" s="95"/>
      <c r="X495" s="95"/>
      <c r="Y495" s="95"/>
      <c r="Z495" s="95"/>
      <c r="AA495" s="95"/>
      <c r="AB495" s="95"/>
      <c r="AC495" s="95"/>
    </row>
    <row r="496" ht="15.75" customHeight="1" spans="1:29">
      <c r="A496" s="95"/>
      <c r="B496" s="95"/>
      <c r="C496" s="102"/>
      <c r="D496" s="95"/>
      <c r="E496" s="95"/>
      <c r="F496" s="95"/>
      <c r="G496" s="95"/>
      <c r="H496" s="95"/>
      <c r="I496" s="105"/>
      <c r="J496" s="95"/>
      <c r="K496" s="95"/>
      <c r="L496" s="104"/>
      <c r="M496" s="104"/>
      <c r="N496" s="95"/>
      <c r="O496" s="95"/>
      <c r="P496" s="95"/>
      <c r="Q496" s="95"/>
      <c r="R496" s="95"/>
      <c r="S496" s="95"/>
      <c r="T496" s="95"/>
      <c r="U496" s="95"/>
      <c r="V496" s="95"/>
      <c r="W496" s="95"/>
      <c r="X496" s="95"/>
      <c r="Y496" s="95"/>
      <c r="Z496" s="95"/>
      <c r="AA496" s="95"/>
      <c r="AB496" s="95"/>
      <c r="AC496" s="95"/>
    </row>
    <row r="497" ht="15.75" customHeight="1" spans="1:29">
      <c r="A497" s="95"/>
      <c r="B497" s="95"/>
      <c r="C497" s="102"/>
      <c r="D497" s="95"/>
      <c r="E497" s="95"/>
      <c r="F497" s="95"/>
      <c r="G497" s="95"/>
      <c r="H497" s="95"/>
      <c r="I497" s="105"/>
      <c r="J497" s="95"/>
      <c r="K497" s="95"/>
      <c r="L497" s="104"/>
      <c r="M497" s="106"/>
      <c r="N497" s="95"/>
      <c r="O497" s="95"/>
      <c r="P497" s="95"/>
      <c r="Q497" s="95"/>
      <c r="R497" s="95"/>
      <c r="S497" s="95"/>
      <c r="T497" s="95"/>
      <c r="U497" s="95"/>
      <c r="V497" s="95"/>
      <c r="W497" s="95"/>
      <c r="X497" s="95"/>
      <c r="Y497" s="95"/>
      <c r="Z497" s="95"/>
      <c r="AA497" s="95"/>
      <c r="AB497" s="95"/>
      <c r="AC497" s="95"/>
    </row>
    <row r="498" ht="15.75" customHeight="1" spans="1:29">
      <c r="A498" s="95"/>
      <c r="B498" s="95"/>
      <c r="C498" s="102"/>
      <c r="D498" s="95"/>
      <c r="E498" s="95"/>
      <c r="F498" s="95"/>
      <c r="G498" s="95"/>
      <c r="H498" s="95"/>
      <c r="I498" s="105"/>
      <c r="J498" s="95"/>
      <c r="K498" s="95"/>
      <c r="L498" s="106"/>
      <c r="M498" s="104"/>
      <c r="N498" s="95"/>
      <c r="O498" s="95"/>
      <c r="P498" s="95"/>
      <c r="Q498" s="95"/>
      <c r="R498" s="95"/>
      <c r="S498" s="95"/>
      <c r="T498" s="95"/>
      <c r="U498" s="95"/>
      <c r="V498" s="95"/>
      <c r="W498" s="95"/>
      <c r="X498" s="95"/>
      <c r="Y498" s="95"/>
      <c r="Z498" s="95"/>
      <c r="AA498" s="95"/>
      <c r="AB498" s="95"/>
      <c r="AC498" s="95"/>
    </row>
    <row r="499" ht="15.75" customHeight="1" spans="1:29">
      <c r="A499" s="95"/>
      <c r="B499" s="95"/>
      <c r="C499" s="102"/>
      <c r="D499" s="95"/>
      <c r="E499" s="95"/>
      <c r="F499" s="95"/>
      <c r="G499" s="95"/>
      <c r="H499" s="95"/>
      <c r="I499" s="105"/>
      <c r="J499" s="95"/>
      <c r="K499" s="95"/>
      <c r="L499" s="104"/>
      <c r="M499" s="104"/>
      <c r="N499" s="95"/>
      <c r="O499" s="95"/>
      <c r="P499" s="95"/>
      <c r="Q499" s="95"/>
      <c r="R499" s="95"/>
      <c r="S499" s="95"/>
      <c r="T499" s="95"/>
      <c r="U499" s="95"/>
      <c r="V499" s="95"/>
      <c r="W499" s="95"/>
      <c r="X499" s="95"/>
      <c r="Y499" s="95"/>
      <c r="Z499" s="95"/>
      <c r="AA499" s="95"/>
      <c r="AB499" s="95"/>
      <c r="AC499" s="95"/>
    </row>
    <row r="500" ht="15.75" customHeight="1" spans="1:29">
      <c r="A500" s="95"/>
      <c r="B500" s="95"/>
      <c r="C500" s="102"/>
      <c r="D500" s="95"/>
      <c r="E500" s="95"/>
      <c r="F500" s="95"/>
      <c r="G500" s="95"/>
      <c r="H500" s="95"/>
      <c r="I500" s="105"/>
      <c r="J500" s="95"/>
      <c r="K500" s="95"/>
      <c r="L500" s="104"/>
      <c r="M500" s="104"/>
      <c r="N500" s="95"/>
      <c r="O500" s="95"/>
      <c r="P500" s="95"/>
      <c r="Q500" s="95"/>
      <c r="R500" s="95"/>
      <c r="S500" s="95"/>
      <c r="T500" s="95"/>
      <c r="U500" s="95"/>
      <c r="V500" s="95"/>
      <c r="W500" s="95"/>
      <c r="X500" s="95"/>
      <c r="Y500" s="95"/>
      <c r="Z500" s="95"/>
      <c r="AA500" s="95"/>
      <c r="AB500" s="95"/>
      <c r="AC500" s="95"/>
    </row>
    <row r="501" ht="15.75" customHeight="1" spans="1:29">
      <c r="A501" s="95"/>
      <c r="B501" s="95"/>
      <c r="C501" s="102"/>
      <c r="D501" s="95"/>
      <c r="E501" s="95"/>
      <c r="F501" s="95"/>
      <c r="G501" s="95"/>
      <c r="H501" s="95"/>
      <c r="I501" s="105"/>
      <c r="J501" s="95"/>
      <c r="K501" s="95"/>
      <c r="L501" s="106"/>
      <c r="M501" s="104"/>
      <c r="N501" s="95"/>
      <c r="O501" s="95"/>
      <c r="P501" s="95"/>
      <c r="Q501" s="95"/>
      <c r="R501" s="95"/>
      <c r="S501" s="95"/>
      <c r="T501" s="95"/>
      <c r="U501" s="95"/>
      <c r="V501" s="95"/>
      <c r="W501" s="95"/>
      <c r="X501" s="95"/>
      <c r="Y501" s="95"/>
      <c r="Z501" s="95"/>
      <c r="AA501" s="95"/>
      <c r="AB501" s="95"/>
      <c r="AC501" s="95"/>
    </row>
    <row r="502" ht="15.75" customHeight="1" spans="1:29">
      <c r="A502" s="95"/>
      <c r="B502" s="95"/>
      <c r="C502" s="102"/>
      <c r="D502" s="95"/>
      <c r="E502" s="95"/>
      <c r="F502" s="95"/>
      <c r="G502" s="95"/>
      <c r="H502" s="95"/>
      <c r="I502" s="105"/>
      <c r="J502" s="95"/>
      <c r="K502" s="95"/>
      <c r="L502" s="104"/>
      <c r="M502" s="104"/>
      <c r="N502" s="95"/>
      <c r="O502" s="95"/>
      <c r="P502" s="95"/>
      <c r="Q502" s="95"/>
      <c r="R502" s="95"/>
      <c r="S502" s="95"/>
      <c r="T502" s="95"/>
      <c r="U502" s="95"/>
      <c r="V502" s="95"/>
      <c r="W502" s="95"/>
      <c r="X502" s="95"/>
      <c r="Y502" s="95"/>
      <c r="Z502" s="95"/>
      <c r="AA502" s="95"/>
      <c r="AB502" s="95"/>
      <c r="AC502" s="95"/>
    </row>
    <row r="503" ht="15.75" customHeight="1" spans="1:29">
      <c r="A503" s="95"/>
      <c r="B503" s="95"/>
      <c r="C503" s="102"/>
      <c r="D503" s="95"/>
      <c r="E503" s="95"/>
      <c r="F503" s="95"/>
      <c r="G503" s="95"/>
      <c r="H503" s="95"/>
      <c r="I503" s="103"/>
      <c r="J503" s="95"/>
      <c r="K503" s="95"/>
      <c r="L503" s="104"/>
      <c r="M503" s="106"/>
      <c r="N503" s="95"/>
      <c r="O503" s="95"/>
      <c r="P503" s="95"/>
      <c r="Q503" s="95"/>
      <c r="R503" s="95"/>
      <c r="S503" s="95"/>
      <c r="T503" s="95"/>
      <c r="U503" s="95"/>
      <c r="V503" s="95"/>
      <c r="W503" s="95"/>
      <c r="X503" s="95"/>
      <c r="Y503" s="95"/>
      <c r="Z503" s="95"/>
      <c r="AA503" s="95"/>
      <c r="AB503" s="95"/>
      <c r="AC503" s="95"/>
    </row>
    <row r="504" ht="15.75" customHeight="1" spans="1:29">
      <c r="A504" s="95"/>
      <c r="B504" s="95"/>
      <c r="C504" s="102"/>
      <c r="D504" s="95"/>
      <c r="E504" s="95"/>
      <c r="F504" s="95"/>
      <c r="G504" s="95"/>
      <c r="H504" s="95"/>
      <c r="I504" s="103"/>
      <c r="J504" s="95"/>
      <c r="K504" s="95"/>
      <c r="L504" s="104"/>
      <c r="M504" s="104"/>
      <c r="N504" s="95"/>
      <c r="O504" s="95"/>
      <c r="P504" s="95"/>
      <c r="Q504" s="95"/>
      <c r="R504" s="95"/>
      <c r="S504" s="95"/>
      <c r="T504" s="95"/>
      <c r="U504" s="95"/>
      <c r="V504" s="95"/>
      <c r="W504" s="95"/>
      <c r="X504" s="95"/>
      <c r="Y504" s="95"/>
      <c r="Z504" s="95"/>
      <c r="AA504" s="95"/>
      <c r="AB504" s="95"/>
      <c r="AC504" s="95"/>
    </row>
    <row r="505" ht="15.75" customHeight="1" spans="1:29">
      <c r="A505" s="95"/>
      <c r="B505" s="95"/>
      <c r="C505" s="102"/>
      <c r="D505" s="95"/>
      <c r="E505" s="95"/>
      <c r="F505" s="95"/>
      <c r="G505" s="95"/>
      <c r="H505" s="95"/>
      <c r="I505" s="103"/>
      <c r="J505" s="95"/>
      <c r="K505" s="95"/>
      <c r="L505" s="106"/>
      <c r="M505" s="104"/>
      <c r="N505" s="95"/>
      <c r="O505" s="95"/>
      <c r="P505" s="95"/>
      <c r="Q505" s="95"/>
      <c r="R505" s="95"/>
      <c r="S505" s="95"/>
      <c r="T505" s="95"/>
      <c r="U505" s="95"/>
      <c r="V505" s="95"/>
      <c r="W505" s="95"/>
      <c r="X505" s="95"/>
      <c r="Y505" s="95"/>
      <c r="Z505" s="95"/>
      <c r="AA505" s="95"/>
      <c r="AB505" s="95"/>
      <c r="AC505" s="95"/>
    </row>
    <row r="506" ht="15.75" customHeight="1" spans="1:29">
      <c r="A506" s="95"/>
      <c r="B506" s="95"/>
      <c r="C506" s="102"/>
      <c r="D506" s="95"/>
      <c r="E506" s="95"/>
      <c r="F506" s="95"/>
      <c r="G506" s="95"/>
      <c r="H506" s="95"/>
      <c r="I506" s="103"/>
      <c r="J506" s="95"/>
      <c r="K506" s="95"/>
      <c r="L506" s="104"/>
      <c r="M506" s="104"/>
      <c r="N506" s="95"/>
      <c r="O506" s="95"/>
      <c r="P506" s="95"/>
      <c r="Q506" s="95"/>
      <c r="R506" s="95"/>
      <c r="S506" s="95"/>
      <c r="T506" s="95"/>
      <c r="U506" s="95"/>
      <c r="V506" s="95"/>
      <c r="W506" s="95"/>
      <c r="X506" s="95"/>
      <c r="Y506" s="95"/>
      <c r="Z506" s="95"/>
      <c r="AA506" s="95"/>
      <c r="AB506" s="95"/>
      <c r="AC506" s="95"/>
    </row>
    <row r="507" ht="15.75" customHeight="1" spans="1:29">
      <c r="A507" s="95"/>
      <c r="B507" s="95"/>
      <c r="C507" s="102"/>
      <c r="D507" s="95"/>
      <c r="E507" s="95"/>
      <c r="F507" s="95"/>
      <c r="G507" s="95"/>
      <c r="H507" s="95"/>
      <c r="I507" s="103"/>
      <c r="J507" s="95"/>
      <c r="K507" s="95"/>
      <c r="L507" s="104"/>
      <c r="M507" s="104"/>
      <c r="N507" s="95"/>
      <c r="O507" s="95"/>
      <c r="P507" s="95"/>
      <c r="Q507" s="95"/>
      <c r="R507" s="95"/>
      <c r="S507" s="95"/>
      <c r="T507" s="95"/>
      <c r="U507" s="95"/>
      <c r="V507" s="95"/>
      <c r="W507" s="95"/>
      <c r="X507" s="95"/>
      <c r="Y507" s="95"/>
      <c r="Z507" s="95"/>
      <c r="AA507" s="95"/>
      <c r="AB507" s="95"/>
      <c r="AC507" s="95"/>
    </row>
    <row r="508" ht="15.75" customHeight="1" spans="1:29">
      <c r="A508" s="95"/>
      <c r="B508" s="95"/>
      <c r="C508" s="102"/>
      <c r="D508" s="95"/>
      <c r="E508" s="95"/>
      <c r="F508" s="95"/>
      <c r="G508" s="95"/>
      <c r="H508" s="95"/>
      <c r="I508" s="103"/>
      <c r="J508" s="95"/>
      <c r="K508" s="95"/>
      <c r="L508" s="104"/>
      <c r="M508" s="104"/>
      <c r="N508" s="95"/>
      <c r="O508" s="95"/>
      <c r="P508" s="95"/>
      <c r="Q508" s="95"/>
      <c r="R508" s="95"/>
      <c r="S508" s="95"/>
      <c r="T508" s="95"/>
      <c r="U508" s="95"/>
      <c r="V508" s="95"/>
      <c r="W508" s="95"/>
      <c r="X508" s="95"/>
      <c r="Y508" s="95"/>
      <c r="Z508" s="95"/>
      <c r="AA508" s="95"/>
      <c r="AB508" s="95"/>
      <c r="AC508" s="95"/>
    </row>
    <row r="509" ht="15.75" customHeight="1" spans="1:29">
      <c r="A509" s="95"/>
      <c r="B509" s="95"/>
      <c r="C509" s="102"/>
      <c r="D509" s="95"/>
      <c r="E509" s="95"/>
      <c r="F509" s="95"/>
      <c r="G509" s="95"/>
      <c r="H509" s="95"/>
      <c r="I509" s="103"/>
      <c r="J509" s="95"/>
      <c r="K509" s="95"/>
      <c r="L509" s="104"/>
      <c r="M509" s="106"/>
      <c r="N509" s="95"/>
      <c r="O509" s="95"/>
      <c r="P509" s="95"/>
      <c r="Q509" s="95"/>
      <c r="R509" s="95"/>
      <c r="S509" s="95"/>
      <c r="T509" s="95"/>
      <c r="U509" s="95"/>
      <c r="V509" s="95"/>
      <c r="W509" s="95"/>
      <c r="X509" s="95"/>
      <c r="Y509" s="95"/>
      <c r="Z509" s="95"/>
      <c r="AA509" s="95"/>
      <c r="AB509" s="95"/>
      <c r="AC509" s="95"/>
    </row>
    <row r="510" ht="15.75" customHeight="1" spans="1:29">
      <c r="A510" s="95"/>
      <c r="B510" s="95"/>
      <c r="C510" s="102"/>
      <c r="D510" s="95"/>
      <c r="E510" s="95"/>
      <c r="F510" s="95"/>
      <c r="G510" s="95"/>
      <c r="H510" s="95"/>
      <c r="I510" s="103"/>
      <c r="J510" s="95"/>
      <c r="K510" s="95"/>
      <c r="L510" s="104"/>
      <c r="M510" s="104"/>
      <c r="N510" s="95"/>
      <c r="O510" s="95"/>
      <c r="P510" s="95"/>
      <c r="Q510" s="95"/>
      <c r="R510" s="95"/>
      <c r="S510" s="95"/>
      <c r="T510" s="95"/>
      <c r="U510" s="95"/>
      <c r="V510" s="95"/>
      <c r="W510" s="95"/>
      <c r="X510" s="95"/>
      <c r="Y510" s="95"/>
      <c r="Z510" s="95"/>
      <c r="AA510" s="95"/>
      <c r="AB510" s="95"/>
      <c r="AC510" s="95"/>
    </row>
    <row r="511" ht="15.75" customHeight="1" spans="1:29">
      <c r="A511" s="95"/>
      <c r="B511" s="95"/>
      <c r="C511" s="102"/>
      <c r="D511" s="95"/>
      <c r="E511" s="95"/>
      <c r="F511" s="95"/>
      <c r="G511" s="95"/>
      <c r="H511" s="95"/>
      <c r="I511" s="105"/>
      <c r="J511" s="95"/>
      <c r="K511" s="95"/>
      <c r="L511" s="104"/>
      <c r="M511" s="106"/>
      <c r="N511" s="95"/>
      <c r="O511" s="95"/>
      <c r="P511" s="95"/>
      <c r="Q511" s="95"/>
      <c r="R511" s="95"/>
      <c r="S511" s="95"/>
      <c r="T511" s="95"/>
      <c r="U511" s="95"/>
      <c r="V511" s="95"/>
      <c r="W511" s="95"/>
      <c r="X511" s="95"/>
      <c r="Y511" s="95"/>
      <c r="Z511" s="95"/>
      <c r="AA511" s="95"/>
      <c r="AB511" s="95"/>
      <c r="AC511" s="95"/>
    </row>
    <row r="512" ht="15.75" customHeight="1" spans="1:29">
      <c r="A512" s="95"/>
      <c r="B512" s="95"/>
      <c r="C512" s="102"/>
      <c r="D512" s="95"/>
      <c r="E512" s="95"/>
      <c r="F512" s="95"/>
      <c r="G512" s="95"/>
      <c r="H512" s="95"/>
      <c r="I512" s="105"/>
      <c r="J512" s="95"/>
      <c r="K512" s="95"/>
      <c r="L512" s="104"/>
      <c r="M512" s="104"/>
      <c r="N512" s="95"/>
      <c r="O512" s="95"/>
      <c r="P512" s="95"/>
      <c r="Q512" s="95"/>
      <c r="R512" s="95"/>
      <c r="S512" s="95"/>
      <c r="T512" s="95"/>
      <c r="U512" s="95"/>
      <c r="V512" s="95"/>
      <c r="W512" s="95"/>
      <c r="X512" s="95"/>
      <c r="Y512" s="95"/>
      <c r="Z512" s="95"/>
      <c r="AA512" s="95"/>
      <c r="AB512" s="95"/>
      <c r="AC512" s="95"/>
    </row>
    <row r="513" ht="15.75" customHeight="1" spans="1:29">
      <c r="A513" s="95"/>
      <c r="B513" s="95"/>
      <c r="C513" s="102"/>
      <c r="D513" s="95"/>
      <c r="E513" s="95"/>
      <c r="F513" s="95"/>
      <c r="G513" s="95"/>
      <c r="H513" s="95"/>
      <c r="I513" s="105"/>
      <c r="J513" s="95"/>
      <c r="K513" s="95"/>
      <c r="L513" s="106"/>
      <c r="M513" s="104"/>
      <c r="N513" s="95"/>
      <c r="O513" s="95"/>
      <c r="P513" s="95"/>
      <c r="Q513" s="95"/>
      <c r="R513" s="95"/>
      <c r="S513" s="95"/>
      <c r="T513" s="95"/>
      <c r="U513" s="95"/>
      <c r="V513" s="95"/>
      <c r="W513" s="95"/>
      <c r="X513" s="95"/>
      <c r="Y513" s="95"/>
      <c r="Z513" s="95"/>
      <c r="AA513" s="95"/>
      <c r="AB513" s="95"/>
      <c r="AC513" s="95"/>
    </row>
    <row r="514" ht="15.75" customHeight="1" spans="1:29">
      <c r="A514" s="95"/>
      <c r="B514" s="95"/>
      <c r="C514" s="102"/>
      <c r="D514" s="95"/>
      <c r="E514" s="95"/>
      <c r="F514" s="95"/>
      <c r="G514" s="95"/>
      <c r="H514" s="95"/>
      <c r="I514" s="105"/>
      <c r="J514" s="95"/>
      <c r="K514" s="95"/>
      <c r="L514" s="104"/>
      <c r="M514" s="104"/>
      <c r="N514" s="95"/>
      <c r="O514" s="95"/>
      <c r="P514" s="95"/>
      <c r="Q514" s="95"/>
      <c r="R514" s="95"/>
      <c r="S514" s="95"/>
      <c r="T514" s="95"/>
      <c r="U514" s="95"/>
      <c r="V514" s="95"/>
      <c r="W514" s="95"/>
      <c r="X514" s="95"/>
      <c r="Y514" s="95"/>
      <c r="Z514" s="95"/>
      <c r="AA514" s="95"/>
      <c r="AB514" s="95"/>
      <c r="AC514" s="95"/>
    </row>
    <row r="515" ht="15.75" customHeight="1" spans="1:29">
      <c r="A515" s="95"/>
      <c r="B515" s="95"/>
      <c r="C515" s="102"/>
      <c r="D515" s="95"/>
      <c r="E515" s="95"/>
      <c r="F515" s="95"/>
      <c r="G515" s="95"/>
      <c r="H515" s="95"/>
      <c r="I515" s="105"/>
      <c r="J515" s="95"/>
      <c r="K515" s="95"/>
      <c r="L515" s="104"/>
      <c r="M515" s="104"/>
      <c r="N515" s="95"/>
      <c r="O515" s="95"/>
      <c r="P515" s="95"/>
      <c r="Q515" s="95"/>
      <c r="R515" s="95"/>
      <c r="S515" s="95"/>
      <c r="T515" s="95"/>
      <c r="U515" s="95"/>
      <c r="V515" s="95"/>
      <c r="W515" s="95"/>
      <c r="X515" s="95"/>
      <c r="Y515" s="95"/>
      <c r="Z515" s="95"/>
      <c r="AA515" s="95"/>
      <c r="AB515" s="95"/>
      <c r="AC515" s="95"/>
    </row>
    <row r="516" ht="15.75" customHeight="1" spans="1:29">
      <c r="A516" s="95"/>
      <c r="B516" s="95"/>
      <c r="C516" s="102"/>
      <c r="D516" s="95"/>
      <c r="E516" s="95"/>
      <c r="F516" s="95"/>
      <c r="G516" s="95"/>
      <c r="H516" s="95"/>
      <c r="I516" s="105"/>
      <c r="J516" s="95"/>
      <c r="K516" s="95"/>
      <c r="L516" s="106"/>
      <c r="M516" s="106"/>
      <c r="N516" s="95"/>
      <c r="O516" s="95"/>
      <c r="P516" s="95"/>
      <c r="Q516" s="95"/>
      <c r="R516" s="95"/>
      <c r="S516" s="95"/>
      <c r="T516" s="95"/>
      <c r="U516" s="95"/>
      <c r="V516" s="95"/>
      <c r="W516" s="95"/>
      <c r="X516" s="95"/>
      <c r="Y516" s="95"/>
      <c r="Z516" s="95"/>
      <c r="AA516" s="95"/>
      <c r="AB516" s="95"/>
      <c r="AC516" s="95"/>
    </row>
    <row r="517" ht="15.75" customHeight="1" spans="1:29">
      <c r="A517" s="95"/>
      <c r="B517" s="95"/>
      <c r="C517" s="102"/>
      <c r="D517" s="95"/>
      <c r="E517" s="95"/>
      <c r="F517" s="95"/>
      <c r="G517" s="95"/>
      <c r="H517" s="95"/>
      <c r="I517" s="105"/>
      <c r="J517" s="95"/>
      <c r="K517" s="95"/>
      <c r="L517" s="104"/>
      <c r="M517" s="104"/>
      <c r="N517" s="95"/>
      <c r="O517" s="95"/>
      <c r="P517" s="95"/>
      <c r="Q517" s="95"/>
      <c r="R517" s="95"/>
      <c r="S517" s="95"/>
      <c r="T517" s="95"/>
      <c r="U517" s="95"/>
      <c r="V517" s="95"/>
      <c r="W517" s="95"/>
      <c r="X517" s="95"/>
      <c r="Y517" s="95"/>
      <c r="Z517" s="95"/>
      <c r="AA517" s="95"/>
      <c r="AB517" s="95"/>
      <c r="AC517" s="95"/>
    </row>
    <row r="518" ht="15.75" customHeight="1" spans="1:29">
      <c r="A518" s="95"/>
      <c r="B518" s="95"/>
      <c r="C518" s="102"/>
      <c r="D518" s="95"/>
      <c r="E518" s="95"/>
      <c r="F518" s="95"/>
      <c r="G518" s="95"/>
      <c r="H518" s="95"/>
      <c r="I518" s="105"/>
      <c r="J518" s="95"/>
      <c r="K518" s="95"/>
      <c r="L518" s="104"/>
      <c r="M518" s="104"/>
      <c r="N518" s="95"/>
      <c r="O518" s="95"/>
      <c r="P518" s="95"/>
      <c r="Q518" s="95"/>
      <c r="R518" s="95"/>
      <c r="S518" s="95"/>
      <c r="T518" s="95"/>
      <c r="U518" s="95"/>
      <c r="V518" s="95"/>
      <c r="W518" s="95"/>
      <c r="X518" s="95"/>
      <c r="Y518" s="95"/>
      <c r="Z518" s="95"/>
      <c r="AA518" s="95"/>
      <c r="AB518" s="95"/>
      <c r="AC518" s="95"/>
    </row>
    <row r="519" ht="15.75" customHeight="1" spans="1:29">
      <c r="A519" s="95"/>
      <c r="B519" s="95"/>
      <c r="C519" s="102"/>
      <c r="D519" s="95"/>
      <c r="E519" s="95"/>
      <c r="F519" s="95"/>
      <c r="G519" s="95"/>
      <c r="H519" s="95"/>
      <c r="I519" s="103"/>
      <c r="J519" s="95"/>
      <c r="K519" s="95"/>
      <c r="L519" s="106"/>
      <c r="M519" s="104"/>
      <c r="N519" s="95"/>
      <c r="O519" s="95"/>
      <c r="P519" s="95"/>
      <c r="Q519" s="95"/>
      <c r="R519" s="95"/>
      <c r="S519" s="95"/>
      <c r="T519" s="95"/>
      <c r="U519" s="95"/>
      <c r="V519" s="95"/>
      <c r="W519" s="95"/>
      <c r="X519" s="95"/>
      <c r="Y519" s="95"/>
      <c r="Z519" s="95"/>
      <c r="AA519" s="95"/>
      <c r="AB519" s="95"/>
      <c r="AC519" s="95"/>
    </row>
    <row r="520" ht="15.75" customHeight="1" spans="1:29">
      <c r="A520" s="95"/>
      <c r="B520" s="95"/>
      <c r="C520" s="102"/>
      <c r="D520" s="95"/>
      <c r="E520" s="95"/>
      <c r="F520" s="95"/>
      <c r="G520" s="95"/>
      <c r="H520" s="95"/>
      <c r="I520" s="103"/>
      <c r="J520" s="95"/>
      <c r="K520" s="95"/>
      <c r="L520" s="104"/>
      <c r="M520" s="104"/>
      <c r="N520" s="95"/>
      <c r="O520" s="95"/>
      <c r="P520" s="95"/>
      <c r="Q520" s="95"/>
      <c r="R520" s="95"/>
      <c r="S520" s="95"/>
      <c r="T520" s="95"/>
      <c r="U520" s="95"/>
      <c r="V520" s="95"/>
      <c r="W520" s="95"/>
      <c r="X520" s="95"/>
      <c r="Y520" s="95"/>
      <c r="Z520" s="95"/>
      <c r="AA520" s="95"/>
      <c r="AB520" s="95"/>
      <c r="AC520" s="95"/>
    </row>
    <row r="521" ht="15.75" customHeight="1" spans="1:29">
      <c r="A521" s="95"/>
      <c r="B521" s="95"/>
      <c r="C521" s="102"/>
      <c r="D521" s="95"/>
      <c r="E521" s="95"/>
      <c r="F521" s="95"/>
      <c r="G521" s="95"/>
      <c r="H521" s="95"/>
      <c r="I521" s="103"/>
      <c r="J521" s="95"/>
      <c r="K521" s="95"/>
      <c r="L521" s="104"/>
      <c r="M521" s="104"/>
      <c r="N521" s="95"/>
      <c r="O521" s="95"/>
      <c r="P521" s="95"/>
      <c r="Q521" s="95"/>
      <c r="R521" s="95"/>
      <c r="S521" s="95"/>
      <c r="T521" s="95"/>
      <c r="U521" s="95"/>
      <c r="V521" s="95"/>
      <c r="W521" s="95"/>
      <c r="X521" s="95"/>
      <c r="Y521" s="95"/>
      <c r="Z521" s="95"/>
      <c r="AA521" s="95"/>
      <c r="AB521" s="95"/>
      <c r="AC521" s="95"/>
    </row>
    <row r="522" ht="15.75" customHeight="1" spans="1:29">
      <c r="A522" s="95"/>
      <c r="B522" s="95"/>
      <c r="C522" s="102"/>
      <c r="D522" s="95"/>
      <c r="E522" s="95"/>
      <c r="F522" s="95"/>
      <c r="G522" s="95"/>
      <c r="H522" s="95"/>
      <c r="I522" s="103"/>
      <c r="J522" s="95"/>
      <c r="K522" s="95"/>
      <c r="L522" s="104"/>
      <c r="M522" s="104"/>
      <c r="N522" s="95"/>
      <c r="O522" s="95"/>
      <c r="P522" s="95"/>
      <c r="Q522" s="95"/>
      <c r="R522" s="95"/>
      <c r="S522" s="95"/>
      <c r="T522" s="95"/>
      <c r="U522" s="95"/>
      <c r="V522" s="95"/>
      <c r="W522" s="95"/>
      <c r="X522" s="95"/>
      <c r="Y522" s="95"/>
      <c r="Z522" s="95"/>
      <c r="AA522" s="95"/>
      <c r="AB522" s="95"/>
      <c r="AC522" s="95"/>
    </row>
    <row r="523" ht="15.75" customHeight="1" spans="1:29">
      <c r="A523" s="95"/>
      <c r="B523" s="95"/>
      <c r="C523" s="102"/>
      <c r="D523" s="95"/>
      <c r="E523" s="95"/>
      <c r="F523" s="95"/>
      <c r="G523" s="95"/>
      <c r="H523" s="95"/>
      <c r="I523" s="103"/>
      <c r="J523" s="95"/>
      <c r="K523" s="95"/>
      <c r="L523" s="104"/>
      <c r="M523" s="106"/>
      <c r="N523" s="95"/>
      <c r="O523" s="95"/>
      <c r="P523" s="95"/>
      <c r="Q523" s="95"/>
      <c r="R523" s="95"/>
      <c r="S523" s="95"/>
      <c r="T523" s="95"/>
      <c r="U523" s="95"/>
      <c r="V523" s="95"/>
      <c r="W523" s="95"/>
      <c r="X523" s="95"/>
      <c r="Y523" s="95"/>
      <c r="Z523" s="95"/>
      <c r="AA523" s="95"/>
      <c r="AB523" s="95"/>
      <c r="AC523" s="95"/>
    </row>
    <row r="524" ht="15.75" customHeight="1" spans="1:29">
      <c r="A524" s="95"/>
      <c r="B524" s="95"/>
      <c r="C524" s="102"/>
      <c r="D524" s="95"/>
      <c r="E524" s="95"/>
      <c r="F524" s="95"/>
      <c r="G524" s="95"/>
      <c r="H524" s="95"/>
      <c r="I524" s="103"/>
      <c r="J524" s="95"/>
      <c r="K524" s="95"/>
      <c r="L524" s="104"/>
      <c r="M524" s="104"/>
      <c r="N524" s="95"/>
      <c r="O524" s="95"/>
      <c r="P524" s="95"/>
      <c r="Q524" s="95"/>
      <c r="R524" s="95"/>
      <c r="S524" s="95"/>
      <c r="T524" s="95"/>
      <c r="U524" s="95"/>
      <c r="V524" s="95"/>
      <c r="W524" s="95"/>
      <c r="X524" s="95"/>
      <c r="Y524" s="95"/>
      <c r="Z524" s="95"/>
      <c r="AA524" s="95"/>
      <c r="AB524" s="95"/>
      <c r="AC524" s="95"/>
    </row>
    <row r="525" ht="15.75" customHeight="1" spans="1:29">
      <c r="A525" s="95"/>
      <c r="B525" s="95"/>
      <c r="C525" s="102"/>
      <c r="D525" s="95"/>
      <c r="E525" s="95"/>
      <c r="F525" s="95"/>
      <c r="G525" s="95"/>
      <c r="H525" s="95"/>
      <c r="I525" s="103"/>
      <c r="J525" s="95"/>
      <c r="K525" s="95"/>
      <c r="L525" s="104"/>
      <c r="M525" s="104"/>
      <c r="N525" s="95"/>
      <c r="O525" s="95"/>
      <c r="P525" s="95"/>
      <c r="Q525" s="95"/>
      <c r="R525" s="95"/>
      <c r="S525" s="95"/>
      <c r="T525" s="95"/>
      <c r="U525" s="95"/>
      <c r="V525" s="95"/>
      <c r="W525" s="95"/>
      <c r="X525" s="95"/>
      <c r="Y525" s="95"/>
      <c r="Z525" s="95"/>
      <c r="AA525" s="95"/>
      <c r="AB525" s="95"/>
      <c r="AC525" s="95"/>
    </row>
    <row r="526" ht="15.75" customHeight="1" spans="1:29">
      <c r="A526" s="95"/>
      <c r="B526" s="95"/>
      <c r="C526" s="102"/>
      <c r="D526" s="95"/>
      <c r="E526" s="95"/>
      <c r="F526" s="95"/>
      <c r="G526" s="95"/>
      <c r="H526" s="95"/>
      <c r="I526" s="103"/>
      <c r="J526" s="95"/>
      <c r="K526" s="95"/>
      <c r="L526" s="104"/>
      <c r="M526" s="104"/>
      <c r="N526" s="95"/>
      <c r="O526" s="95"/>
      <c r="P526" s="95"/>
      <c r="Q526" s="95"/>
      <c r="R526" s="95"/>
      <c r="S526" s="95"/>
      <c r="T526" s="95"/>
      <c r="U526" s="95"/>
      <c r="V526" s="95"/>
      <c r="W526" s="95"/>
      <c r="X526" s="95"/>
      <c r="Y526" s="95"/>
      <c r="Z526" s="95"/>
      <c r="AA526" s="95"/>
      <c r="AB526" s="95"/>
      <c r="AC526" s="95"/>
    </row>
    <row r="527" ht="15.75" customHeight="1" spans="1:29">
      <c r="A527" s="95"/>
      <c r="B527" s="95"/>
      <c r="C527" s="102"/>
      <c r="D527" s="95"/>
      <c r="E527" s="95"/>
      <c r="F527" s="95"/>
      <c r="G527" s="95"/>
      <c r="H527" s="95"/>
      <c r="I527" s="103"/>
      <c r="J527" s="95"/>
      <c r="K527" s="95"/>
      <c r="L527" s="104"/>
      <c r="M527" s="104"/>
      <c r="N527" s="95"/>
      <c r="O527" s="95"/>
      <c r="P527" s="95"/>
      <c r="Q527" s="95"/>
      <c r="R527" s="95"/>
      <c r="S527" s="95"/>
      <c r="T527" s="95"/>
      <c r="U527" s="95"/>
      <c r="V527" s="95"/>
      <c r="W527" s="95"/>
      <c r="X527" s="95"/>
      <c r="Y527" s="95"/>
      <c r="Z527" s="95"/>
      <c r="AA527" s="95"/>
      <c r="AB527" s="95"/>
      <c r="AC527" s="95"/>
    </row>
    <row r="528" ht="15.75" customHeight="1" spans="1:29">
      <c r="A528" s="95"/>
      <c r="B528" s="95"/>
      <c r="C528" s="102"/>
      <c r="D528" s="95"/>
      <c r="E528" s="95"/>
      <c r="F528" s="95"/>
      <c r="G528" s="95"/>
      <c r="H528" s="95"/>
      <c r="I528" s="103"/>
      <c r="J528" s="95"/>
      <c r="K528" s="95"/>
      <c r="L528" s="104"/>
      <c r="M528" s="104"/>
      <c r="N528" s="95"/>
      <c r="O528" s="95"/>
      <c r="P528" s="95"/>
      <c r="Q528" s="95"/>
      <c r="R528" s="95"/>
      <c r="S528" s="95"/>
      <c r="T528" s="95"/>
      <c r="U528" s="95"/>
      <c r="V528" s="95"/>
      <c r="W528" s="95"/>
      <c r="X528" s="95"/>
      <c r="Y528" s="95"/>
      <c r="Z528" s="95"/>
      <c r="AA528" s="95"/>
      <c r="AB528" s="95"/>
      <c r="AC528" s="95"/>
    </row>
    <row r="529" ht="15.75" customHeight="1" spans="1:29">
      <c r="A529" s="95"/>
      <c r="B529" s="95"/>
      <c r="C529" s="102"/>
      <c r="D529" s="95"/>
      <c r="E529" s="95"/>
      <c r="F529" s="95"/>
      <c r="G529" s="95"/>
      <c r="H529" s="95"/>
      <c r="I529" s="103"/>
      <c r="J529" s="95"/>
      <c r="K529" s="95"/>
      <c r="L529" s="104"/>
      <c r="M529" s="104"/>
      <c r="N529" s="95"/>
      <c r="O529" s="95"/>
      <c r="P529" s="95"/>
      <c r="Q529" s="95"/>
      <c r="R529" s="95"/>
      <c r="S529" s="95"/>
      <c r="T529" s="95"/>
      <c r="U529" s="95"/>
      <c r="V529" s="95"/>
      <c r="W529" s="95"/>
      <c r="X529" s="95"/>
      <c r="Y529" s="95"/>
      <c r="Z529" s="95"/>
      <c r="AA529" s="95"/>
      <c r="AB529" s="95"/>
      <c r="AC529" s="95"/>
    </row>
    <row r="530" ht="15.75" customHeight="1" spans="1:29">
      <c r="A530" s="95"/>
      <c r="B530" s="95"/>
      <c r="C530" s="102"/>
      <c r="D530" s="95"/>
      <c r="E530" s="95"/>
      <c r="F530" s="95"/>
      <c r="G530" s="95"/>
      <c r="H530" s="95"/>
      <c r="I530" s="103"/>
      <c r="J530" s="95"/>
      <c r="K530" s="95"/>
      <c r="L530" s="106"/>
      <c r="M530" s="104"/>
      <c r="N530" s="95"/>
      <c r="O530" s="95"/>
      <c r="P530" s="95"/>
      <c r="Q530" s="95"/>
      <c r="R530" s="95"/>
      <c r="S530" s="95"/>
      <c r="T530" s="95"/>
      <c r="U530" s="95"/>
      <c r="V530" s="95"/>
      <c r="W530" s="95"/>
      <c r="X530" s="95"/>
      <c r="Y530" s="95"/>
      <c r="Z530" s="95"/>
      <c r="AA530" s="95"/>
      <c r="AB530" s="95"/>
      <c r="AC530" s="95"/>
    </row>
    <row r="531" ht="15.75" customHeight="1" spans="1:29">
      <c r="A531" s="95"/>
      <c r="B531" s="95"/>
      <c r="C531" s="102"/>
      <c r="D531" s="95"/>
      <c r="E531" s="95"/>
      <c r="F531" s="95"/>
      <c r="G531" s="95"/>
      <c r="H531" s="95"/>
      <c r="I531" s="103"/>
      <c r="J531" s="95"/>
      <c r="K531" s="95"/>
      <c r="L531" s="104"/>
      <c r="M531" s="104"/>
      <c r="N531" s="95"/>
      <c r="O531" s="95"/>
      <c r="P531" s="95"/>
      <c r="Q531" s="95"/>
      <c r="R531" s="95"/>
      <c r="S531" s="95"/>
      <c r="T531" s="95"/>
      <c r="U531" s="95"/>
      <c r="V531" s="95"/>
      <c r="W531" s="95"/>
      <c r="X531" s="95"/>
      <c r="Y531" s="95"/>
      <c r="Z531" s="95"/>
      <c r="AA531" s="95"/>
      <c r="AB531" s="95"/>
      <c r="AC531" s="95"/>
    </row>
    <row r="532" ht="15.75" customHeight="1" spans="1:29">
      <c r="A532" s="95"/>
      <c r="B532" s="95"/>
      <c r="C532" s="102"/>
      <c r="D532" s="95"/>
      <c r="E532" s="95"/>
      <c r="F532" s="95"/>
      <c r="G532" s="95"/>
      <c r="H532" s="95"/>
      <c r="I532" s="103"/>
      <c r="J532" s="95"/>
      <c r="K532" s="95"/>
      <c r="L532" s="104"/>
      <c r="M532" s="104"/>
      <c r="N532" s="95"/>
      <c r="O532" s="95"/>
      <c r="P532" s="95"/>
      <c r="Q532" s="95"/>
      <c r="R532" s="95"/>
      <c r="S532" s="95"/>
      <c r="T532" s="95"/>
      <c r="U532" s="95"/>
      <c r="V532" s="95"/>
      <c r="W532" s="95"/>
      <c r="X532" s="95"/>
      <c r="Y532" s="95"/>
      <c r="Z532" s="95"/>
      <c r="AA532" s="95"/>
      <c r="AB532" s="95"/>
      <c r="AC532" s="95"/>
    </row>
    <row r="533" ht="15.75" customHeight="1" spans="1:29">
      <c r="A533" s="95"/>
      <c r="B533" s="95"/>
      <c r="C533" s="102"/>
      <c r="D533" s="95"/>
      <c r="E533" s="95"/>
      <c r="F533" s="95"/>
      <c r="G533" s="95"/>
      <c r="H533" s="95"/>
      <c r="I533" s="105"/>
      <c r="J533" s="95"/>
      <c r="K533" s="95"/>
      <c r="L533" s="104"/>
      <c r="M533" s="104"/>
      <c r="N533" s="95"/>
      <c r="O533" s="95"/>
      <c r="P533" s="95"/>
      <c r="Q533" s="95"/>
      <c r="R533" s="95"/>
      <c r="S533" s="95"/>
      <c r="T533" s="95"/>
      <c r="U533" s="95"/>
      <c r="V533" s="95"/>
      <c r="W533" s="95"/>
      <c r="X533" s="95"/>
      <c r="Y533" s="95"/>
      <c r="Z533" s="95"/>
      <c r="AA533" s="95"/>
      <c r="AB533" s="95"/>
      <c r="AC533" s="95"/>
    </row>
    <row r="534" ht="15.75" customHeight="1" spans="1:29">
      <c r="A534" s="95"/>
      <c r="B534" s="95"/>
      <c r="C534" s="102"/>
      <c r="D534" s="95"/>
      <c r="E534" s="95"/>
      <c r="F534" s="95"/>
      <c r="G534" s="95"/>
      <c r="H534" s="95"/>
      <c r="I534" s="105"/>
      <c r="J534" s="95"/>
      <c r="K534" s="95"/>
      <c r="L534" s="104"/>
      <c r="M534" s="104"/>
      <c r="N534" s="95"/>
      <c r="O534" s="95"/>
      <c r="P534" s="95"/>
      <c r="Q534" s="95"/>
      <c r="R534" s="95"/>
      <c r="S534" s="95"/>
      <c r="T534" s="95"/>
      <c r="U534" s="95"/>
      <c r="V534" s="95"/>
      <c r="W534" s="95"/>
      <c r="X534" s="95"/>
      <c r="Y534" s="95"/>
      <c r="Z534" s="95"/>
      <c r="AA534" s="95"/>
      <c r="AB534" s="95"/>
      <c r="AC534" s="95"/>
    </row>
    <row r="535" ht="15.75" customHeight="1" spans="1:29">
      <c r="A535" s="95"/>
      <c r="B535" s="95"/>
      <c r="C535" s="102"/>
      <c r="D535" s="95"/>
      <c r="E535" s="95"/>
      <c r="F535" s="95"/>
      <c r="G535" s="95"/>
      <c r="H535" s="95"/>
      <c r="I535" s="105"/>
      <c r="J535" s="95"/>
      <c r="K535" s="95"/>
      <c r="L535" s="104"/>
      <c r="M535" s="104"/>
      <c r="N535" s="95"/>
      <c r="O535" s="95"/>
      <c r="P535" s="95"/>
      <c r="Q535" s="95"/>
      <c r="R535" s="95"/>
      <c r="S535" s="95"/>
      <c r="T535" s="95"/>
      <c r="U535" s="95"/>
      <c r="V535" s="95"/>
      <c r="W535" s="95"/>
      <c r="X535" s="95"/>
      <c r="Y535" s="95"/>
      <c r="Z535" s="95"/>
      <c r="AA535" s="95"/>
      <c r="AB535" s="95"/>
      <c r="AC535" s="95"/>
    </row>
    <row r="536" ht="15.75" customHeight="1" spans="1:29">
      <c r="A536" s="95"/>
      <c r="B536" s="95"/>
      <c r="C536" s="102"/>
      <c r="D536" s="95"/>
      <c r="E536" s="95"/>
      <c r="F536" s="95"/>
      <c r="G536" s="95"/>
      <c r="H536" s="95"/>
      <c r="I536" s="105"/>
      <c r="J536" s="95"/>
      <c r="K536" s="95"/>
      <c r="L536" s="104"/>
      <c r="M536" s="104"/>
      <c r="N536" s="95"/>
      <c r="O536" s="95"/>
      <c r="P536" s="95"/>
      <c r="Q536" s="95"/>
      <c r="R536" s="95"/>
      <c r="S536" s="95"/>
      <c r="T536" s="95"/>
      <c r="U536" s="95"/>
      <c r="V536" s="95"/>
      <c r="W536" s="95"/>
      <c r="X536" s="95"/>
      <c r="Y536" s="95"/>
      <c r="Z536" s="95"/>
      <c r="AA536" s="95"/>
      <c r="AB536" s="95"/>
      <c r="AC536" s="95"/>
    </row>
    <row r="537" ht="15.75" customHeight="1" spans="1:29">
      <c r="A537" s="95"/>
      <c r="B537" s="95"/>
      <c r="C537" s="102"/>
      <c r="D537" s="95"/>
      <c r="E537" s="95"/>
      <c r="F537" s="95"/>
      <c r="G537" s="95"/>
      <c r="H537" s="95"/>
      <c r="I537" s="105"/>
      <c r="J537" s="95"/>
      <c r="K537" s="95"/>
      <c r="L537" s="104"/>
      <c r="M537" s="104"/>
      <c r="N537" s="95"/>
      <c r="O537" s="95"/>
      <c r="P537" s="95"/>
      <c r="Q537" s="95"/>
      <c r="R537" s="95"/>
      <c r="S537" s="95"/>
      <c r="T537" s="95"/>
      <c r="U537" s="95"/>
      <c r="V537" s="95"/>
      <c r="W537" s="95"/>
      <c r="X537" s="95"/>
      <c r="Y537" s="95"/>
      <c r="Z537" s="95"/>
      <c r="AA537" s="95"/>
      <c r="AB537" s="95"/>
      <c r="AC537" s="95"/>
    </row>
    <row r="538" ht="15.75" customHeight="1" spans="1:29">
      <c r="A538" s="95"/>
      <c r="B538" s="95"/>
      <c r="C538" s="102"/>
      <c r="D538" s="95"/>
      <c r="E538" s="95"/>
      <c r="F538" s="95"/>
      <c r="G538" s="95"/>
      <c r="H538" s="95"/>
      <c r="I538" s="105"/>
      <c r="J538" s="95"/>
      <c r="K538" s="95"/>
      <c r="L538" s="104"/>
      <c r="M538" s="104"/>
      <c r="N538" s="95"/>
      <c r="O538" s="95"/>
      <c r="P538" s="95"/>
      <c r="Q538" s="95"/>
      <c r="R538" s="95"/>
      <c r="S538" s="95"/>
      <c r="T538" s="95"/>
      <c r="U538" s="95"/>
      <c r="V538" s="95"/>
      <c r="W538" s="95"/>
      <c r="X538" s="95"/>
      <c r="Y538" s="95"/>
      <c r="Z538" s="95"/>
      <c r="AA538" s="95"/>
      <c r="AB538" s="95"/>
      <c r="AC538" s="95"/>
    </row>
    <row r="539" ht="15.75" customHeight="1" spans="1:29">
      <c r="A539" s="95"/>
      <c r="B539" s="95"/>
      <c r="C539" s="102"/>
      <c r="D539" s="95"/>
      <c r="E539" s="95"/>
      <c r="F539" s="95"/>
      <c r="G539" s="95"/>
      <c r="H539" s="95"/>
      <c r="I539" s="105"/>
      <c r="J539" s="95"/>
      <c r="K539" s="95"/>
      <c r="L539" s="106"/>
      <c r="M539" s="106"/>
      <c r="N539" s="95"/>
      <c r="O539" s="95"/>
      <c r="P539" s="95"/>
      <c r="Q539" s="95"/>
      <c r="R539" s="95"/>
      <c r="S539" s="95"/>
      <c r="T539" s="95"/>
      <c r="U539" s="95"/>
      <c r="V539" s="95"/>
      <c r="W539" s="95"/>
      <c r="X539" s="95"/>
      <c r="Y539" s="95"/>
      <c r="Z539" s="95"/>
      <c r="AA539" s="95"/>
      <c r="AB539" s="95"/>
      <c r="AC539" s="95"/>
    </row>
    <row r="540" ht="15.75" customHeight="1" spans="1:29">
      <c r="A540" s="95"/>
      <c r="B540" s="95"/>
      <c r="C540" s="102"/>
      <c r="D540" s="95"/>
      <c r="E540" s="95"/>
      <c r="F540" s="95"/>
      <c r="G540" s="95"/>
      <c r="H540" s="95"/>
      <c r="I540" s="105"/>
      <c r="J540" s="95"/>
      <c r="K540" s="95"/>
      <c r="L540" s="104"/>
      <c r="M540" s="104"/>
      <c r="N540" s="95"/>
      <c r="O540" s="95"/>
      <c r="P540" s="95"/>
      <c r="Q540" s="95"/>
      <c r="R540" s="95"/>
      <c r="S540" s="95"/>
      <c r="T540" s="95"/>
      <c r="U540" s="95"/>
      <c r="V540" s="95"/>
      <c r="W540" s="95"/>
      <c r="X540" s="95"/>
      <c r="Y540" s="95"/>
      <c r="Z540" s="95"/>
      <c r="AA540" s="95"/>
      <c r="AB540" s="95"/>
      <c r="AC540" s="95"/>
    </row>
    <row r="541" ht="15.75" customHeight="1" spans="1:29">
      <c r="A541" s="95"/>
      <c r="B541" s="95"/>
      <c r="C541" s="102"/>
      <c r="D541" s="95"/>
      <c r="E541" s="95"/>
      <c r="F541" s="95"/>
      <c r="G541" s="95"/>
      <c r="H541" s="95"/>
      <c r="I541" s="105"/>
      <c r="J541" s="95"/>
      <c r="K541" s="95"/>
      <c r="L541" s="106"/>
      <c r="M541" s="104"/>
      <c r="N541" s="95"/>
      <c r="O541" s="95"/>
      <c r="P541" s="95"/>
      <c r="Q541" s="95"/>
      <c r="R541" s="95"/>
      <c r="S541" s="95"/>
      <c r="T541" s="95"/>
      <c r="U541" s="95"/>
      <c r="V541" s="95"/>
      <c r="W541" s="95"/>
      <c r="X541" s="95"/>
      <c r="Y541" s="95"/>
      <c r="Z541" s="95"/>
      <c r="AA541" s="95"/>
      <c r="AB541" s="95"/>
      <c r="AC541" s="95"/>
    </row>
    <row r="542" ht="15.75" customHeight="1" spans="1:29">
      <c r="A542" s="95"/>
      <c r="B542" s="95"/>
      <c r="C542" s="102"/>
      <c r="D542" s="95"/>
      <c r="E542" s="95"/>
      <c r="F542" s="95"/>
      <c r="G542" s="95"/>
      <c r="H542" s="95"/>
      <c r="I542" s="105"/>
      <c r="J542" s="95"/>
      <c r="K542" s="95"/>
      <c r="L542" s="106"/>
      <c r="M542" s="104"/>
      <c r="N542" s="95"/>
      <c r="O542" s="95"/>
      <c r="P542" s="95"/>
      <c r="Q542" s="95"/>
      <c r="R542" s="95"/>
      <c r="S542" s="95"/>
      <c r="T542" s="95"/>
      <c r="U542" s="95"/>
      <c r="V542" s="95"/>
      <c r="W542" s="95"/>
      <c r="X542" s="95"/>
      <c r="Y542" s="95"/>
      <c r="Z542" s="95"/>
      <c r="AA542" s="95"/>
      <c r="AB542" s="95"/>
      <c r="AC542" s="95"/>
    </row>
    <row r="543" ht="15.75" customHeight="1" spans="1:29">
      <c r="A543" s="95"/>
      <c r="B543" s="95"/>
      <c r="C543" s="102"/>
      <c r="D543" s="95"/>
      <c r="E543" s="95"/>
      <c r="F543" s="95"/>
      <c r="G543" s="95"/>
      <c r="H543" s="95"/>
      <c r="I543" s="105"/>
      <c r="J543" s="95"/>
      <c r="K543" s="95"/>
      <c r="L543" s="104"/>
      <c r="M543" s="104"/>
      <c r="N543" s="95"/>
      <c r="O543" s="95"/>
      <c r="P543" s="95"/>
      <c r="Q543" s="95"/>
      <c r="R543" s="95"/>
      <c r="S543" s="95"/>
      <c r="T543" s="95"/>
      <c r="U543" s="95"/>
      <c r="V543" s="95"/>
      <c r="W543" s="95"/>
      <c r="X543" s="95"/>
      <c r="Y543" s="95"/>
      <c r="Z543" s="95"/>
      <c r="AA543" s="95"/>
      <c r="AB543" s="95"/>
      <c r="AC543" s="95"/>
    </row>
    <row r="544" ht="15.75" customHeight="1" spans="1:29">
      <c r="A544" s="95"/>
      <c r="B544" s="95"/>
      <c r="C544" s="102"/>
      <c r="D544" s="95"/>
      <c r="E544" s="95"/>
      <c r="F544" s="95"/>
      <c r="G544" s="95"/>
      <c r="H544" s="95"/>
      <c r="I544" s="105"/>
      <c r="J544" s="95"/>
      <c r="K544" s="95"/>
      <c r="L544" s="106"/>
      <c r="M544" s="104"/>
      <c r="N544" s="95"/>
      <c r="O544" s="95"/>
      <c r="P544" s="95"/>
      <c r="Q544" s="95"/>
      <c r="R544" s="95"/>
      <c r="S544" s="95"/>
      <c r="T544" s="95"/>
      <c r="U544" s="95"/>
      <c r="V544" s="95"/>
      <c r="W544" s="95"/>
      <c r="X544" s="95"/>
      <c r="Y544" s="95"/>
      <c r="Z544" s="95"/>
      <c r="AA544" s="95"/>
      <c r="AB544" s="95"/>
      <c r="AC544" s="95"/>
    </row>
    <row r="545" ht="15.75" customHeight="1" spans="1:29">
      <c r="A545" s="95"/>
      <c r="B545" s="95"/>
      <c r="C545" s="102"/>
      <c r="D545" s="95"/>
      <c r="E545" s="95"/>
      <c r="F545" s="95"/>
      <c r="G545" s="95"/>
      <c r="H545" s="95"/>
      <c r="I545" s="105"/>
      <c r="J545" s="95"/>
      <c r="K545" s="95"/>
      <c r="L545" s="104"/>
      <c r="M545" s="104"/>
      <c r="N545" s="95"/>
      <c r="O545" s="95"/>
      <c r="P545" s="95"/>
      <c r="Q545" s="95"/>
      <c r="R545" s="95"/>
      <c r="S545" s="95"/>
      <c r="T545" s="95"/>
      <c r="U545" s="95"/>
      <c r="V545" s="95"/>
      <c r="W545" s="95"/>
      <c r="X545" s="95"/>
      <c r="Y545" s="95"/>
      <c r="Z545" s="95"/>
      <c r="AA545" s="95"/>
      <c r="AB545" s="95"/>
      <c r="AC545" s="95"/>
    </row>
    <row r="546" ht="15.75" customHeight="1" spans="1:29">
      <c r="A546" s="95"/>
      <c r="B546" s="95"/>
      <c r="C546" s="102"/>
      <c r="D546" s="95"/>
      <c r="E546" s="95"/>
      <c r="F546" s="95"/>
      <c r="G546" s="95"/>
      <c r="H546" s="95"/>
      <c r="I546" s="105"/>
      <c r="J546" s="95"/>
      <c r="K546" s="95"/>
      <c r="L546" s="104"/>
      <c r="M546" s="104"/>
      <c r="N546" s="95"/>
      <c r="O546" s="95"/>
      <c r="P546" s="95"/>
      <c r="Q546" s="95"/>
      <c r="R546" s="95"/>
      <c r="S546" s="95"/>
      <c r="T546" s="95"/>
      <c r="U546" s="95"/>
      <c r="V546" s="95"/>
      <c r="W546" s="95"/>
      <c r="X546" s="95"/>
      <c r="Y546" s="95"/>
      <c r="Z546" s="95"/>
      <c r="AA546" s="95"/>
      <c r="AB546" s="95"/>
      <c r="AC546" s="95"/>
    </row>
    <row r="547" ht="15.75" customHeight="1" spans="1:29">
      <c r="A547" s="95"/>
      <c r="B547" s="95"/>
      <c r="C547" s="102"/>
      <c r="D547" s="95"/>
      <c r="E547" s="95"/>
      <c r="F547" s="95"/>
      <c r="G547" s="95"/>
      <c r="H547" s="95"/>
      <c r="I547" s="103"/>
      <c r="J547" s="95"/>
      <c r="K547" s="95"/>
      <c r="L547" s="104"/>
      <c r="M547" s="104"/>
      <c r="N547" s="95"/>
      <c r="O547" s="95"/>
      <c r="P547" s="95"/>
      <c r="Q547" s="95"/>
      <c r="R547" s="95"/>
      <c r="S547" s="95"/>
      <c r="T547" s="95"/>
      <c r="U547" s="95"/>
      <c r="V547" s="95"/>
      <c r="W547" s="95"/>
      <c r="X547" s="95"/>
      <c r="Y547" s="95"/>
      <c r="Z547" s="95"/>
      <c r="AA547" s="95"/>
      <c r="AB547" s="95"/>
      <c r="AC547" s="95"/>
    </row>
    <row r="548" ht="15.75" customHeight="1" spans="1:29">
      <c r="A548" s="95"/>
      <c r="B548" s="95"/>
      <c r="C548" s="102"/>
      <c r="D548" s="95"/>
      <c r="E548" s="95"/>
      <c r="F548" s="95"/>
      <c r="G548" s="95"/>
      <c r="H548" s="95"/>
      <c r="I548" s="103"/>
      <c r="J548" s="95"/>
      <c r="K548" s="95"/>
      <c r="L548" s="104"/>
      <c r="M548" s="104"/>
      <c r="N548" s="95"/>
      <c r="O548" s="95"/>
      <c r="P548" s="95"/>
      <c r="Q548" s="95"/>
      <c r="R548" s="95"/>
      <c r="S548" s="95"/>
      <c r="T548" s="95"/>
      <c r="U548" s="95"/>
      <c r="V548" s="95"/>
      <c r="W548" s="95"/>
      <c r="X548" s="95"/>
      <c r="Y548" s="95"/>
      <c r="Z548" s="95"/>
      <c r="AA548" s="95"/>
      <c r="AB548" s="95"/>
      <c r="AC548" s="95"/>
    </row>
    <row r="549" ht="15.75" customHeight="1" spans="1:29">
      <c r="A549" s="95"/>
      <c r="B549" s="95"/>
      <c r="C549" s="102"/>
      <c r="D549" s="95"/>
      <c r="E549" s="95"/>
      <c r="F549" s="95"/>
      <c r="G549" s="95"/>
      <c r="H549" s="95"/>
      <c r="I549" s="103"/>
      <c r="J549" s="95"/>
      <c r="K549" s="95"/>
      <c r="L549" s="104"/>
      <c r="M549" s="104"/>
      <c r="N549" s="95"/>
      <c r="O549" s="95"/>
      <c r="P549" s="95"/>
      <c r="Q549" s="95"/>
      <c r="R549" s="95"/>
      <c r="S549" s="95"/>
      <c r="T549" s="95"/>
      <c r="U549" s="95"/>
      <c r="V549" s="95"/>
      <c r="W549" s="95"/>
      <c r="X549" s="95"/>
      <c r="Y549" s="95"/>
      <c r="Z549" s="95"/>
      <c r="AA549" s="95"/>
      <c r="AB549" s="95"/>
      <c r="AC549" s="95"/>
    </row>
    <row r="550" ht="15.75" customHeight="1" spans="1:29">
      <c r="A550" s="95"/>
      <c r="B550" s="95"/>
      <c r="C550" s="102"/>
      <c r="D550" s="95"/>
      <c r="E550" s="95"/>
      <c r="F550" s="95"/>
      <c r="G550" s="95"/>
      <c r="H550" s="95"/>
      <c r="I550" s="103"/>
      <c r="J550" s="95"/>
      <c r="K550" s="95"/>
      <c r="L550" s="104"/>
      <c r="M550" s="104"/>
      <c r="N550" s="95"/>
      <c r="O550" s="95"/>
      <c r="P550" s="95"/>
      <c r="Q550" s="95"/>
      <c r="R550" s="95"/>
      <c r="S550" s="95"/>
      <c r="T550" s="95"/>
      <c r="U550" s="95"/>
      <c r="V550" s="95"/>
      <c r="W550" s="95"/>
      <c r="X550" s="95"/>
      <c r="Y550" s="95"/>
      <c r="Z550" s="95"/>
      <c r="AA550" s="95"/>
      <c r="AB550" s="95"/>
      <c r="AC550" s="95"/>
    </row>
    <row r="551" ht="15.75" customHeight="1" spans="1:29">
      <c r="A551" s="95"/>
      <c r="B551" s="95"/>
      <c r="C551" s="102"/>
      <c r="D551" s="95"/>
      <c r="E551" s="95"/>
      <c r="F551" s="95"/>
      <c r="G551" s="95"/>
      <c r="H551" s="95"/>
      <c r="I551" s="103"/>
      <c r="J551" s="95"/>
      <c r="K551" s="95"/>
      <c r="L551" s="104"/>
      <c r="M551" s="104"/>
      <c r="N551" s="95"/>
      <c r="O551" s="95"/>
      <c r="P551" s="95"/>
      <c r="Q551" s="95"/>
      <c r="R551" s="95"/>
      <c r="S551" s="95"/>
      <c r="T551" s="95"/>
      <c r="U551" s="95"/>
      <c r="V551" s="95"/>
      <c r="W551" s="95"/>
      <c r="X551" s="95"/>
      <c r="Y551" s="95"/>
      <c r="Z551" s="95"/>
      <c r="AA551" s="95"/>
      <c r="AB551" s="95"/>
      <c r="AC551" s="95"/>
    </row>
    <row r="552" ht="15.75" customHeight="1" spans="1:29">
      <c r="A552" s="95"/>
      <c r="B552" s="95"/>
      <c r="C552" s="102"/>
      <c r="D552" s="95"/>
      <c r="E552" s="95"/>
      <c r="F552" s="95"/>
      <c r="G552" s="95"/>
      <c r="H552" s="95"/>
      <c r="I552" s="105"/>
      <c r="J552" s="95"/>
      <c r="K552" s="95"/>
      <c r="L552" s="104"/>
      <c r="M552" s="104"/>
      <c r="N552" s="95"/>
      <c r="O552" s="95"/>
      <c r="P552" s="95"/>
      <c r="Q552" s="95"/>
      <c r="R552" s="95"/>
      <c r="S552" s="95"/>
      <c r="T552" s="95"/>
      <c r="U552" s="95"/>
      <c r="V552" s="95"/>
      <c r="W552" s="95"/>
      <c r="X552" s="95"/>
      <c r="Y552" s="95"/>
      <c r="Z552" s="95"/>
      <c r="AA552" s="95"/>
      <c r="AB552" s="95"/>
      <c r="AC552" s="95"/>
    </row>
    <row r="553" ht="15.75" customHeight="1" spans="1:29">
      <c r="A553" s="95"/>
      <c r="B553" s="95"/>
      <c r="C553" s="102"/>
      <c r="D553" s="95"/>
      <c r="E553" s="95"/>
      <c r="F553" s="95"/>
      <c r="G553" s="95"/>
      <c r="H553" s="95"/>
      <c r="I553" s="105"/>
      <c r="J553" s="95"/>
      <c r="K553" s="95"/>
      <c r="L553" s="104"/>
      <c r="M553" s="104"/>
      <c r="N553" s="95"/>
      <c r="O553" s="95"/>
      <c r="P553" s="95"/>
      <c r="Q553" s="95"/>
      <c r="R553" s="95"/>
      <c r="S553" s="95"/>
      <c r="T553" s="95"/>
      <c r="U553" s="95"/>
      <c r="V553" s="95"/>
      <c r="W553" s="95"/>
      <c r="X553" s="95"/>
      <c r="Y553" s="95"/>
      <c r="Z553" s="95"/>
      <c r="AA553" s="95"/>
      <c r="AB553" s="95"/>
      <c r="AC553" s="95"/>
    </row>
    <row r="554" ht="15.75" customHeight="1" spans="1:29">
      <c r="A554" s="95"/>
      <c r="B554" s="95"/>
      <c r="C554" s="102"/>
      <c r="D554" s="95"/>
      <c r="E554" s="95"/>
      <c r="F554" s="95"/>
      <c r="G554" s="95"/>
      <c r="H554" s="95"/>
      <c r="I554" s="103"/>
      <c r="J554" s="95"/>
      <c r="K554" s="95"/>
      <c r="L554" s="106"/>
      <c r="M554" s="106"/>
      <c r="N554" s="95"/>
      <c r="O554" s="95"/>
      <c r="P554" s="95"/>
      <c r="Q554" s="95"/>
      <c r="R554" s="95"/>
      <c r="S554" s="95"/>
      <c r="T554" s="95"/>
      <c r="U554" s="95"/>
      <c r="V554" s="95"/>
      <c r="W554" s="95"/>
      <c r="X554" s="95"/>
      <c r="Y554" s="95"/>
      <c r="Z554" s="95"/>
      <c r="AA554" s="95"/>
      <c r="AB554" s="95"/>
      <c r="AC554" s="95"/>
    </row>
    <row r="555" ht="15.75" customHeight="1" spans="1:29">
      <c r="A555" s="95"/>
      <c r="B555" s="95"/>
      <c r="C555" s="102"/>
      <c r="D555" s="95"/>
      <c r="E555" s="95"/>
      <c r="F555" s="95"/>
      <c r="G555" s="95"/>
      <c r="H555" s="95"/>
      <c r="I555" s="103"/>
      <c r="J555" s="95"/>
      <c r="K555" s="95"/>
      <c r="L555" s="104"/>
      <c r="M555" s="104"/>
      <c r="N555" s="95"/>
      <c r="O555" s="95"/>
      <c r="P555" s="95"/>
      <c r="Q555" s="95"/>
      <c r="R555" s="95"/>
      <c r="S555" s="95"/>
      <c r="T555" s="95"/>
      <c r="U555" s="95"/>
      <c r="V555" s="95"/>
      <c r="W555" s="95"/>
      <c r="X555" s="95"/>
      <c r="Y555" s="95"/>
      <c r="Z555" s="95"/>
      <c r="AA555" s="95"/>
      <c r="AB555" s="95"/>
      <c r="AC555" s="95"/>
    </row>
    <row r="556" ht="15.75" customHeight="1" spans="1:29">
      <c r="A556" s="95"/>
      <c r="B556" s="95"/>
      <c r="C556" s="102"/>
      <c r="D556" s="95"/>
      <c r="E556" s="95"/>
      <c r="F556" s="95"/>
      <c r="G556" s="95"/>
      <c r="H556" s="95"/>
      <c r="I556" s="103"/>
      <c r="J556" s="95"/>
      <c r="K556" s="95"/>
      <c r="L556" s="104"/>
      <c r="M556" s="104"/>
      <c r="N556" s="95"/>
      <c r="O556" s="95"/>
      <c r="P556" s="95"/>
      <c r="Q556" s="95"/>
      <c r="R556" s="95"/>
      <c r="S556" s="95"/>
      <c r="T556" s="95"/>
      <c r="U556" s="95"/>
      <c r="V556" s="95"/>
      <c r="W556" s="95"/>
      <c r="X556" s="95"/>
      <c r="Y556" s="95"/>
      <c r="Z556" s="95"/>
      <c r="AA556" s="95"/>
      <c r="AB556" s="95"/>
      <c r="AC556" s="95"/>
    </row>
    <row r="557" ht="15.75" customHeight="1" spans="1:29">
      <c r="A557" s="95"/>
      <c r="B557" s="95"/>
      <c r="C557" s="102"/>
      <c r="D557" s="95"/>
      <c r="E557" s="95"/>
      <c r="F557" s="95"/>
      <c r="G557" s="95"/>
      <c r="H557" s="95"/>
      <c r="I557" s="103"/>
      <c r="J557" s="95"/>
      <c r="K557" s="95"/>
      <c r="L557" s="104"/>
      <c r="M557" s="104"/>
      <c r="N557" s="95"/>
      <c r="O557" s="95"/>
      <c r="P557" s="95"/>
      <c r="Q557" s="95"/>
      <c r="R557" s="95"/>
      <c r="S557" s="95"/>
      <c r="T557" s="95"/>
      <c r="U557" s="95"/>
      <c r="V557" s="95"/>
      <c r="W557" s="95"/>
      <c r="X557" s="95"/>
      <c r="Y557" s="95"/>
      <c r="Z557" s="95"/>
      <c r="AA557" s="95"/>
      <c r="AB557" s="95"/>
      <c r="AC557" s="95"/>
    </row>
    <row r="558" ht="15.75" customHeight="1" spans="1:29">
      <c r="A558" s="95"/>
      <c r="B558" s="95"/>
      <c r="C558" s="102"/>
      <c r="D558" s="95"/>
      <c r="E558" s="95"/>
      <c r="F558" s="95"/>
      <c r="G558" s="95"/>
      <c r="H558" s="95"/>
      <c r="I558" s="103"/>
      <c r="J558" s="95"/>
      <c r="K558" s="95"/>
      <c r="L558" s="104"/>
      <c r="M558" s="106"/>
      <c r="N558" s="95"/>
      <c r="O558" s="95"/>
      <c r="P558" s="95"/>
      <c r="Q558" s="95"/>
      <c r="R558" s="95"/>
      <c r="S558" s="95"/>
      <c r="T558" s="95"/>
      <c r="U558" s="95"/>
      <c r="V558" s="95"/>
      <c r="W558" s="95"/>
      <c r="X558" s="95"/>
      <c r="Y558" s="95"/>
      <c r="Z558" s="95"/>
      <c r="AA558" s="95"/>
      <c r="AB558" s="95"/>
      <c r="AC558" s="95"/>
    </row>
    <row r="559" ht="15.75" customHeight="1" spans="1:29">
      <c r="A559" s="95"/>
      <c r="B559" s="95"/>
      <c r="C559" s="102"/>
      <c r="D559" s="95"/>
      <c r="E559" s="95"/>
      <c r="F559" s="95"/>
      <c r="G559" s="95"/>
      <c r="H559" s="95"/>
      <c r="I559" s="103"/>
      <c r="J559" s="95"/>
      <c r="K559" s="95"/>
      <c r="L559" s="104"/>
      <c r="M559" s="104"/>
      <c r="N559" s="95"/>
      <c r="O559" s="95"/>
      <c r="P559" s="95"/>
      <c r="Q559" s="95"/>
      <c r="R559" s="95"/>
      <c r="S559" s="95"/>
      <c r="T559" s="95"/>
      <c r="U559" s="95"/>
      <c r="V559" s="95"/>
      <c r="W559" s="95"/>
      <c r="X559" s="95"/>
      <c r="Y559" s="95"/>
      <c r="Z559" s="95"/>
      <c r="AA559" s="95"/>
      <c r="AB559" s="95"/>
      <c r="AC559" s="95"/>
    </row>
    <row r="560" ht="15.75" customHeight="1" spans="1:29">
      <c r="A560" s="95"/>
      <c r="B560" s="95"/>
      <c r="C560" s="102"/>
      <c r="D560" s="95"/>
      <c r="E560" s="95"/>
      <c r="F560" s="95"/>
      <c r="G560" s="95"/>
      <c r="H560" s="95"/>
      <c r="I560" s="103"/>
      <c r="J560" s="95"/>
      <c r="K560" s="95"/>
      <c r="L560" s="104"/>
      <c r="M560" s="104"/>
      <c r="N560" s="95"/>
      <c r="O560" s="95"/>
      <c r="P560" s="95"/>
      <c r="Q560" s="95"/>
      <c r="R560" s="95"/>
      <c r="S560" s="95"/>
      <c r="T560" s="95"/>
      <c r="U560" s="95"/>
      <c r="V560" s="95"/>
      <c r="W560" s="95"/>
      <c r="X560" s="95"/>
      <c r="Y560" s="95"/>
      <c r="Z560" s="95"/>
      <c r="AA560" s="95"/>
      <c r="AB560" s="95"/>
      <c r="AC560" s="95"/>
    </row>
    <row r="561" ht="15.75" customHeight="1" spans="1:29">
      <c r="A561" s="95"/>
      <c r="B561" s="95"/>
      <c r="C561" s="102"/>
      <c r="D561" s="95"/>
      <c r="E561" s="95"/>
      <c r="F561" s="95"/>
      <c r="G561" s="95"/>
      <c r="H561" s="95"/>
      <c r="I561" s="105"/>
      <c r="J561" s="95"/>
      <c r="K561" s="95"/>
      <c r="L561" s="104"/>
      <c r="M561" s="104"/>
      <c r="N561" s="95"/>
      <c r="O561" s="95"/>
      <c r="P561" s="95"/>
      <c r="Q561" s="95"/>
      <c r="R561" s="95"/>
      <c r="S561" s="95"/>
      <c r="T561" s="95"/>
      <c r="U561" s="95"/>
      <c r="V561" s="95"/>
      <c r="W561" s="95"/>
      <c r="X561" s="95"/>
      <c r="Y561" s="95"/>
      <c r="Z561" s="95"/>
      <c r="AA561" s="95"/>
      <c r="AB561" s="95"/>
      <c r="AC561" s="95"/>
    </row>
    <row r="562" ht="15.75" customHeight="1" spans="1:29">
      <c r="A562" s="95"/>
      <c r="B562" s="95"/>
      <c r="C562" s="102"/>
      <c r="D562" s="95"/>
      <c r="E562" s="95"/>
      <c r="F562" s="95"/>
      <c r="G562" s="95"/>
      <c r="H562" s="95"/>
      <c r="I562" s="105"/>
      <c r="J562" s="95"/>
      <c r="K562" s="95"/>
      <c r="L562" s="104"/>
      <c r="M562" s="104"/>
      <c r="N562" s="95"/>
      <c r="O562" s="95"/>
      <c r="P562" s="95"/>
      <c r="Q562" s="95"/>
      <c r="R562" s="95"/>
      <c r="S562" s="95"/>
      <c r="T562" s="95"/>
      <c r="U562" s="95"/>
      <c r="V562" s="95"/>
      <c r="W562" s="95"/>
      <c r="X562" s="95"/>
      <c r="Y562" s="95"/>
      <c r="Z562" s="95"/>
      <c r="AA562" s="95"/>
      <c r="AB562" s="95"/>
      <c r="AC562" s="95"/>
    </row>
    <row r="563" ht="15.75" customHeight="1" spans="1:29">
      <c r="A563" s="95"/>
      <c r="B563" s="95"/>
      <c r="C563" s="102"/>
      <c r="D563" s="95"/>
      <c r="E563" s="95"/>
      <c r="F563" s="95"/>
      <c r="G563" s="95"/>
      <c r="H563" s="95"/>
      <c r="I563" s="103"/>
      <c r="J563" s="95"/>
      <c r="K563" s="95"/>
      <c r="L563" s="106"/>
      <c r="M563" s="104"/>
      <c r="N563" s="95"/>
      <c r="O563" s="95"/>
      <c r="P563" s="95"/>
      <c r="Q563" s="95"/>
      <c r="R563" s="95"/>
      <c r="S563" s="95"/>
      <c r="T563" s="95"/>
      <c r="U563" s="95"/>
      <c r="V563" s="95"/>
      <c r="W563" s="95"/>
      <c r="X563" s="95"/>
      <c r="Y563" s="95"/>
      <c r="Z563" s="95"/>
      <c r="AA563" s="95"/>
      <c r="AB563" s="95"/>
      <c r="AC563" s="95"/>
    </row>
    <row r="564" ht="15.75" customHeight="1" spans="1:29">
      <c r="A564" s="95"/>
      <c r="B564" s="95"/>
      <c r="C564" s="102"/>
      <c r="D564" s="95"/>
      <c r="E564" s="95"/>
      <c r="F564" s="95"/>
      <c r="G564" s="95"/>
      <c r="H564" s="95"/>
      <c r="I564" s="103"/>
      <c r="J564" s="95"/>
      <c r="K564" s="95"/>
      <c r="L564" s="104"/>
      <c r="M564" s="104"/>
      <c r="N564" s="95"/>
      <c r="O564" s="95"/>
      <c r="P564" s="95"/>
      <c r="Q564" s="95"/>
      <c r="R564" s="95"/>
      <c r="S564" s="95"/>
      <c r="T564" s="95"/>
      <c r="U564" s="95"/>
      <c r="V564" s="95"/>
      <c r="W564" s="95"/>
      <c r="X564" s="95"/>
      <c r="Y564" s="95"/>
      <c r="Z564" s="95"/>
      <c r="AA564" s="95"/>
      <c r="AB564" s="95"/>
      <c r="AC564" s="95"/>
    </row>
    <row r="565" ht="15.75" customHeight="1" spans="1:29">
      <c r="A565" s="95"/>
      <c r="B565" s="95"/>
      <c r="C565" s="102"/>
      <c r="D565" s="95"/>
      <c r="E565" s="95"/>
      <c r="F565" s="95"/>
      <c r="G565" s="95"/>
      <c r="H565" s="95"/>
      <c r="I565" s="103"/>
      <c r="J565" s="95"/>
      <c r="K565" s="95"/>
      <c r="L565" s="104"/>
      <c r="M565" s="104"/>
      <c r="N565" s="95"/>
      <c r="O565" s="95"/>
      <c r="P565" s="95"/>
      <c r="Q565" s="95"/>
      <c r="R565" s="95"/>
      <c r="S565" s="95"/>
      <c r="T565" s="95"/>
      <c r="U565" s="95"/>
      <c r="V565" s="95"/>
      <c r="W565" s="95"/>
      <c r="X565" s="95"/>
      <c r="Y565" s="95"/>
      <c r="Z565" s="95"/>
      <c r="AA565" s="95"/>
      <c r="AB565" s="95"/>
      <c r="AC565" s="95"/>
    </row>
    <row r="566" ht="15.75" customHeight="1" spans="1:29">
      <c r="A566" s="95"/>
      <c r="B566" s="95"/>
      <c r="C566" s="102"/>
      <c r="D566" s="95"/>
      <c r="E566" s="95"/>
      <c r="F566" s="95"/>
      <c r="G566" s="95"/>
      <c r="H566" s="95"/>
      <c r="I566" s="105"/>
      <c r="J566" s="95"/>
      <c r="K566" s="95"/>
      <c r="L566" s="104"/>
      <c r="M566" s="104"/>
      <c r="N566" s="95"/>
      <c r="O566" s="95"/>
      <c r="P566" s="95"/>
      <c r="Q566" s="95"/>
      <c r="R566" s="95"/>
      <c r="S566" s="95"/>
      <c r="T566" s="95"/>
      <c r="U566" s="95"/>
      <c r="V566" s="95"/>
      <c r="W566" s="95"/>
      <c r="X566" s="95"/>
      <c r="Y566" s="95"/>
      <c r="Z566" s="95"/>
      <c r="AA566" s="95"/>
      <c r="AB566" s="95"/>
      <c r="AC566" s="95"/>
    </row>
    <row r="567" ht="15.75" customHeight="1" spans="1:29">
      <c r="A567" s="95"/>
      <c r="B567" s="95"/>
      <c r="C567" s="102"/>
      <c r="D567" s="95"/>
      <c r="E567" s="95"/>
      <c r="F567" s="95"/>
      <c r="G567" s="95"/>
      <c r="H567" s="95"/>
      <c r="I567" s="105"/>
      <c r="J567" s="95"/>
      <c r="K567" s="95"/>
      <c r="L567" s="104"/>
      <c r="M567" s="104"/>
      <c r="N567" s="95"/>
      <c r="O567" s="95"/>
      <c r="P567" s="95"/>
      <c r="Q567" s="95"/>
      <c r="R567" s="95"/>
      <c r="S567" s="95"/>
      <c r="T567" s="95"/>
      <c r="U567" s="95"/>
      <c r="V567" s="95"/>
      <c r="W567" s="95"/>
      <c r="X567" s="95"/>
      <c r="Y567" s="95"/>
      <c r="Z567" s="95"/>
      <c r="AA567" s="95"/>
      <c r="AB567" s="95"/>
      <c r="AC567" s="95"/>
    </row>
    <row r="568" ht="15.75" customHeight="1" spans="1:29">
      <c r="A568" s="95"/>
      <c r="B568" s="95"/>
      <c r="C568" s="102"/>
      <c r="D568" s="95"/>
      <c r="E568" s="95"/>
      <c r="F568" s="95"/>
      <c r="G568" s="95"/>
      <c r="H568" s="95"/>
      <c r="I568" s="105"/>
      <c r="J568" s="95"/>
      <c r="K568" s="95"/>
      <c r="L568" s="104"/>
      <c r="M568" s="106"/>
      <c r="N568" s="95"/>
      <c r="O568" s="95"/>
      <c r="P568" s="95"/>
      <c r="Q568" s="95"/>
      <c r="R568" s="95"/>
      <c r="S568" s="95"/>
      <c r="T568" s="95"/>
      <c r="U568" s="95"/>
      <c r="V568" s="95"/>
      <c r="W568" s="95"/>
      <c r="X568" s="95"/>
      <c r="Y568" s="95"/>
      <c r="Z568" s="95"/>
      <c r="AA568" s="95"/>
      <c r="AB568" s="95"/>
      <c r="AC568" s="95"/>
    </row>
    <row r="569" ht="15.75" customHeight="1" spans="1:29">
      <c r="A569" s="95"/>
      <c r="B569" s="95"/>
      <c r="C569" s="102"/>
      <c r="D569" s="95"/>
      <c r="E569" s="95"/>
      <c r="F569" s="95"/>
      <c r="G569" s="95"/>
      <c r="H569" s="95"/>
      <c r="I569" s="105"/>
      <c r="J569" s="95"/>
      <c r="K569" s="95"/>
      <c r="L569" s="106"/>
      <c r="M569" s="104"/>
      <c r="N569" s="95"/>
      <c r="O569" s="95"/>
      <c r="P569" s="95"/>
      <c r="Q569" s="95"/>
      <c r="R569" s="95"/>
      <c r="S569" s="95"/>
      <c r="T569" s="95"/>
      <c r="U569" s="95"/>
      <c r="V569" s="95"/>
      <c r="W569" s="95"/>
      <c r="X569" s="95"/>
      <c r="Y569" s="95"/>
      <c r="Z569" s="95"/>
      <c r="AA569" s="95"/>
      <c r="AB569" s="95"/>
      <c r="AC569" s="95"/>
    </row>
    <row r="570" ht="15.75" customHeight="1" spans="1:29">
      <c r="A570" s="95"/>
      <c r="B570" s="95"/>
      <c r="C570" s="102"/>
      <c r="D570" s="95"/>
      <c r="E570" s="95"/>
      <c r="F570" s="95"/>
      <c r="G570" s="95"/>
      <c r="H570" s="95"/>
      <c r="I570" s="105"/>
      <c r="J570" s="95"/>
      <c r="K570" s="95"/>
      <c r="L570" s="104"/>
      <c r="M570" s="104"/>
      <c r="N570" s="95"/>
      <c r="O570" s="95"/>
      <c r="P570" s="95"/>
      <c r="Q570" s="95"/>
      <c r="R570" s="95"/>
      <c r="S570" s="95"/>
      <c r="T570" s="95"/>
      <c r="U570" s="95"/>
      <c r="V570" s="95"/>
      <c r="W570" s="95"/>
      <c r="X570" s="95"/>
      <c r="Y570" s="95"/>
      <c r="Z570" s="95"/>
      <c r="AA570" s="95"/>
      <c r="AB570" s="95"/>
      <c r="AC570" s="95"/>
    </row>
    <row r="571" ht="15.75" customHeight="1" spans="1:29">
      <c r="A571" s="95"/>
      <c r="B571" s="95"/>
      <c r="C571" s="102"/>
      <c r="D571" s="95"/>
      <c r="E571" s="95"/>
      <c r="F571" s="95"/>
      <c r="G571" s="95"/>
      <c r="H571" s="95"/>
      <c r="I571" s="105"/>
      <c r="J571" s="95"/>
      <c r="K571" s="95"/>
      <c r="L571" s="104"/>
      <c r="M571" s="104"/>
      <c r="N571" s="95"/>
      <c r="O571" s="95"/>
      <c r="P571" s="95"/>
      <c r="Q571" s="95"/>
      <c r="R571" s="95"/>
      <c r="S571" s="95"/>
      <c r="T571" s="95"/>
      <c r="U571" s="95"/>
      <c r="V571" s="95"/>
      <c r="W571" s="95"/>
      <c r="X571" s="95"/>
      <c r="Y571" s="95"/>
      <c r="Z571" s="95"/>
      <c r="AA571" s="95"/>
      <c r="AB571" s="95"/>
      <c r="AC571" s="95"/>
    </row>
    <row r="572" ht="15.75" customHeight="1" spans="1:29">
      <c r="A572" s="95"/>
      <c r="B572" s="95"/>
      <c r="C572" s="102"/>
      <c r="D572" s="95"/>
      <c r="E572" s="95"/>
      <c r="F572" s="95"/>
      <c r="G572" s="95"/>
      <c r="H572" s="95"/>
      <c r="I572" s="103"/>
      <c r="J572" s="95"/>
      <c r="K572" s="95"/>
      <c r="L572" s="104"/>
      <c r="M572" s="104"/>
      <c r="N572" s="95"/>
      <c r="O572" s="95"/>
      <c r="P572" s="95"/>
      <c r="Q572" s="95"/>
      <c r="R572" s="95"/>
      <c r="S572" s="95"/>
      <c r="T572" s="95"/>
      <c r="U572" s="95"/>
      <c r="V572" s="95"/>
      <c r="W572" s="95"/>
      <c r="X572" s="95"/>
      <c r="Y572" s="95"/>
      <c r="Z572" s="95"/>
      <c r="AA572" s="95"/>
      <c r="AB572" s="95"/>
      <c r="AC572" s="95"/>
    </row>
    <row r="573" ht="15.75" customHeight="1" spans="1:29">
      <c r="A573" s="95"/>
      <c r="B573" s="95"/>
      <c r="C573" s="102"/>
      <c r="D573" s="95"/>
      <c r="E573" s="95"/>
      <c r="F573" s="95"/>
      <c r="G573" s="95"/>
      <c r="H573" s="95"/>
      <c r="I573" s="103"/>
      <c r="J573" s="95"/>
      <c r="K573" s="95"/>
      <c r="L573" s="104"/>
      <c r="M573" s="104"/>
      <c r="N573" s="95"/>
      <c r="O573" s="95"/>
      <c r="P573" s="95"/>
      <c r="Q573" s="95"/>
      <c r="R573" s="95"/>
      <c r="S573" s="95"/>
      <c r="T573" s="95"/>
      <c r="U573" s="95"/>
      <c r="V573" s="95"/>
      <c r="W573" s="95"/>
      <c r="X573" s="95"/>
      <c r="Y573" s="95"/>
      <c r="Z573" s="95"/>
      <c r="AA573" s="95"/>
      <c r="AB573" s="95"/>
      <c r="AC573" s="95"/>
    </row>
    <row r="574" ht="15.75" customHeight="1" spans="1:29">
      <c r="A574" s="95"/>
      <c r="B574" s="95"/>
      <c r="C574" s="102"/>
      <c r="D574" s="95"/>
      <c r="E574" s="95"/>
      <c r="F574" s="95"/>
      <c r="G574" s="95"/>
      <c r="H574" s="95"/>
      <c r="I574" s="103"/>
      <c r="J574" s="95"/>
      <c r="K574" s="95"/>
      <c r="L574" s="104"/>
      <c r="M574" s="104"/>
      <c r="N574" s="95"/>
      <c r="O574" s="95"/>
      <c r="P574" s="95"/>
      <c r="Q574" s="95"/>
      <c r="R574" s="95"/>
      <c r="S574" s="95"/>
      <c r="T574" s="95"/>
      <c r="U574" s="95"/>
      <c r="V574" s="95"/>
      <c r="W574" s="95"/>
      <c r="X574" s="95"/>
      <c r="Y574" s="95"/>
      <c r="Z574" s="95"/>
      <c r="AA574" s="95"/>
      <c r="AB574" s="95"/>
      <c r="AC574" s="95"/>
    </row>
    <row r="575" ht="15.75" customHeight="1" spans="1:29">
      <c r="A575" s="95"/>
      <c r="B575" s="95"/>
      <c r="C575" s="102"/>
      <c r="D575" s="95"/>
      <c r="E575" s="95"/>
      <c r="F575" s="95"/>
      <c r="G575" s="95"/>
      <c r="H575" s="95"/>
      <c r="I575" s="103"/>
      <c r="J575" s="95"/>
      <c r="K575" s="95"/>
      <c r="L575" s="106"/>
      <c r="M575" s="104"/>
      <c r="N575" s="95"/>
      <c r="O575" s="95"/>
      <c r="P575" s="95"/>
      <c r="Q575" s="95"/>
      <c r="R575" s="95"/>
      <c r="S575" s="95"/>
      <c r="T575" s="95"/>
      <c r="U575" s="95"/>
      <c r="V575" s="95"/>
      <c r="W575" s="95"/>
      <c r="X575" s="95"/>
      <c r="Y575" s="95"/>
      <c r="Z575" s="95"/>
      <c r="AA575" s="95"/>
      <c r="AB575" s="95"/>
      <c r="AC575" s="95"/>
    </row>
    <row r="576" ht="15.75" customHeight="1" spans="1:29">
      <c r="A576" s="95"/>
      <c r="B576" s="95"/>
      <c r="C576" s="102"/>
      <c r="D576" s="95"/>
      <c r="E576" s="95"/>
      <c r="F576" s="95"/>
      <c r="G576" s="95"/>
      <c r="H576" s="95"/>
      <c r="I576" s="105"/>
      <c r="J576" s="95"/>
      <c r="K576" s="95"/>
      <c r="L576" s="104"/>
      <c r="M576" s="104"/>
      <c r="N576" s="95"/>
      <c r="O576" s="95"/>
      <c r="P576" s="95"/>
      <c r="Q576" s="95"/>
      <c r="R576" s="95"/>
      <c r="S576" s="95"/>
      <c r="T576" s="95"/>
      <c r="U576" s="95"/>
      <c r="V576" s="95"/>
      <c r="W576" s="95"/>
      <c r="X576" s="95"/>
      <c r="Y576" s="95"/>
      <c r="Z576" s="95"/>
      <c r="AA576" s="95"/>
      <c r="AB576" s="95"/>
      <c r="AC576" s="95"/>
    </row>
    <row r="577" ht="15.75" customHeight="1" spans="1:29">
      <c r="A577" s="95"/>
      <c r="B577" s="95"/>
      <c r="C577" s="102"/>
      <c r="D577" s="95"/>
      <c r="E577" s="95"/>
      <c r="F577" s="95"/>
      <c r="G577" s="95"/>
      <c r="H577" s="95"/>
      <c r="I577" s="105"/>
      <c r="J577" s="95"/>
      <c r="K577" s="95"/>
      <c r="L577" s="104"/>
      <c r="M577" s="104"/>
      <c r="N577" s="95"/>
      <c r="O577" s="95"/>
      <c r="P577" s="95"/>
      <c r="Q577" s="95"/>
      <c r="R577" s="95"/>
      <c r="S577" s="95"/>
      <c r="T577" s="95"/>
      <c r="U577" s="95"/>
      <c r="V577" s="95"/>
      <c r="W577" s="95"/>
      <c r="X577" s="95"/>
      <c r="Y577" s="95"/>
      <c r="Z577" s="95"/>
      <c r="AA577" s="95"/>
      <c r="AB577" s="95"/>
      <c r="AC577" s="95"/>
    </row>
    <row r="578" ht="15.75" customHeight="1" spans="1:29">
      <c r="A578" s="95"/>
      <c r="B578" s="95"/>
      <c r="C578" s="102"/>
      <c r="D578" s="95"/>
      <c r="E578" s="95"/>
      <c r="F578" s="95"/>
      <c r="G578" s="95"/>
      <c r="H578" s="95"/>
      <c r="I578" s="105"/>
      <c r="J578" s="95"/>
      <c r="K578" s="95"/>
      <c r="L578" s="104"/>
      <c r="M578" s="106"/>
      <c r="N578" s="95"/>
      <c r="O578" s="95"/>
      <c r="P578" s="95"/>
      <c r="Q578" s="95"/>
      <c r="R578" s="95"/>
      <c r="S578" s="95"/>
      <c r="T578" s="95"/>
      <c r="U578" s="95"/>
      <c r="V578" s="95"/>
      <c r="W578" s="95"/>
      <c r="X578" s="95"/>
      <c r="Y578" s="95"/>
      <c r="Z578" s="95"/>
      <c r="AA578" s="95"/>
      <c r="AB578" s="95"/>
      <c r="AC578" s="95"/>
    </row>
    <row r="579" ht="15.75" customHeight="1" spans="1:29">
      <c r="A579" s="95"/>
      <c r="B579" s="95"/>
      <c r="C579" s="102"/>
      <c r="D579" s="95"/>
      <c r="E579" s="95"/>
      <c r="F579" s="95"/>
      <c r="G579" s="95"/>
      <c r="H579" s="95"/>
      <c r="I579" s="105"/>
      <c r="J579" s="95"/>
      <c r="K579" s="95"/>
      <c r="L579" s="106"/>
      <c r="M579" s="104"/>
      <c r="N579" s="95"/>
      <c r="O579" s="95"/>
      <c r="P579" s="95"/>
      <c r="Q579" s="95"/>
      <c r="R579" s="95"/>
      <c r="S579" s="95"/>
      <c r="T579" s="95"/>
      <c r="U579" s="95"/>
      <c r="V579" s="95"/>
      <c r="W579" s="95"/>
      <c r="X579" s="95"/>
      <c r="Y579" s="95"/>
      <c r="Z579" s="95"/>
      <c r="AA579" s="95"/>
      <c r="AB579" s="95"/>
      <c r="AC579" s="95"/>
    </row>
    <row r="580" ht="15.75" customHeight="1" spans="1:29">
      <c r="A580" s="95"/>
      <c r="B580" s="95"/>
      <c r="C580" s="102"/>
      <c r="D580" s="95"/>
      <c r="E580" s="95"/>
      <c r="F580" s="95"/>
      <c r="G580" s="95"/>
      <c r="H580" s="95"/>
      <c r="I580" s="105"/>
      <c r="J580" s="95"/>
      <c r="K580" s="95"/>
      <c r="L580" s="106"/>
      <c r="M580" s="104"/>
      <c r="N580" s="95"/>
      <c r="O580" s="95"/>
      <c r="P580" s="95"/>
      <c r="Q580" s="95"/>
      <c r="R580" s="95"/>
      <c r="S580" s="95"/>
      <c r="T580" s="95"/>
      <c r="U580" s="95"/>
      <c r="V580" s="95"/>
      <c r="W580" s="95"/>
      <c r="X580" s="95"/>
      <c r="Y580" s="95"/>
      <c r="Z580" s="95"/>
      <c r="AA580" s="95"/>
      <c r="AB580" s="95"/>
      <c r="AC580" s="95"/>
    </row>
    <row r="581" ht="15.75" customHeight="1" spans="1:29">
      <c r="A581" s="95"/>
      <c r="B581" s="95"/>
      <c r="C581" s="102"/>
      <c r="D581" s="95"/>
      <c r="E581" s="95"/>
      <c r="F581" s="95"/>
      <c r="G581" s="95"/>
      <c r="H581" s="95"/>
      <c r="I581" s="103"/>
      <c r="J581" s="95"/>
      <c r="K581" s="95"/>
      <c r="L581" s="104"/>
      <c r="M581" s="106"/>
      <c r="N581" s="95"/>
      <c r="O581" s="95"/>
      <c r="P581" s="95"/>
      <c r="Q581" s="95"/>
      <c r="R581" s="95"/>
      <c r="S581" s="95"/>
      <c r="T581" s="95"/>
      <c r="U581" s="95"/>
      <c r="V581" s="95"/>
      <c r="W581" s="95"/>
      <c r="X581" s="95"/>
      <c r="Y581" s="95"/>
      <c r="Z581" s="95"/>
      <c r="AA581" s="95"/>
      <c r="AB581" s="95"/>
      <c r="AC581" s="95"/>
    </row>
    <row r="582" ht="15.75" customHeight="1" spans="1:29">
      <c r="A582" s="95"/>
      <c r="B582" s="95"/>
      <c r="C582" s="102"/>
      <c r="D582" s="95"/>
      <c r="E582" s="95"/>
      <c r="F582" s="95"/>
      <c r="G582" s="95"/>
      <c r="H582" s="95"/>
      <c r="I582" s="103"/>
      <c r="J582" s="95"/>
      <c r="K582" s="95"/>
      <c r="L582" s="104"/>
      <c r="M582" s="104"/>
      <c r="N582" s="95"/>
      <c r="O582" s="95"/>
      <c r="P582" s="95"/>
      <c r="Q582" s="95"/>
      <c r="R582" s="95"/>
      <c r="S582" s="95"/>
      <c r="T582" s="95"/>
      <c r="U582" s="95"/>
      <c r="V582" s="95"/>
      <c r="W582" s="95"/>
      <c r="X582" s="95"/>
      <c r="Y582" s="95"/>
      <c r="Z582" s="95"/>
      <c r="AA582" s="95"/>
      <c r="AB582" s="95"/>
      <c r="AC582" s="95"/>
    </row>
    <row r="583" ht="15.75" customHeight="1" spans="1:29">
      <c r="A583" s="95"/>
      <c r="B583" s="95"/>
      <c r="C583" s="102"/>
      <c r="D583" s="95"/>
      <c r="E583" s="95"/>
      <c r="F583" s="95"/>
      <c r="G583" s="95"/>
      <c r="H583" s="95"/>
      <c r="I583" s="103"/>
      <c r="J583" s="95"/>
      <c r="K583" s="95"/>
      <c r="L583" s="104"/>
      <c r="M583" s="104"/>
      <c r="N583" s="95"/>
      <c r="O583" s="95"/>
      <c r="P583" s="95"/>
      <c r="Q583" s="95"/>
      <c r="R583" s="95"/>
      <c r="S583" s="95"/>
      <c r="T583" s="95"/>
      <c r="U583" s="95"/>
      <c r="V583" s="95"/>
      <c r="W583" s="95"/>
      <c r="X583" s="95"/>
      <c r="Y583" s="95"/>
      <c r="Z583" s="95"/>
      <c r="AA583" s="95"/>
      <c r="AB583" s="95"/>
      <c r="AC583" s="95"/>
    </row>
    <row r="584" ht="15.75" customHeight="1" spans="1:29">
      <c r="A584" s="95"/>
      <c r="B584" s="95"/>
      <c r="C584" s="102"/>
      <c r="D584" s="95"/>
      <c r="E584" s="95"/>
      <c r="F584" s="95"/>
      <c r="G584" s="95"/>
      <c r="H584" s="95"/>
      <c r="I584" s="103"/>
      <c r="J584" s="95"/>
      <c r="K584" s="95"/>
      <c r="L584" s="104"/>
      <c r="M584" s="106"/>
      <c r="N584" s="95"/>
      <c r="O584" s="95"/>
      <c r="P584" s="95"/>
      <c r="Q584" s="95"/>
      <c r="R584" s="95"/>
      <c r="S584" s="95"/>
      <c r="T584" s="95"/>
      <c r="U584" s="95"/>
      <c r="V584" s="95"/>
      <c r="W584" s="95"/>
      <c r="X584" s="95"/>
      <c r="Y584" s="95"/>
      <c r="Z584" s="95"/>
      <c r="AA584" s="95"/>
      <c r="AB584" s="95"/>
      <c r="AC584" s="95"/>
    </row>
    <row r="585" ht="15.75" customHeight="1" spans="1:29">
      <c r="A585" s="95"/>
      <c r="B585" s="95"/>
      <c r="C585" s="102"/>
      <c r="D585" s="95"/>
      <c r="E585" s="95"/>
      <c r="F585" s="95"/>
      <c r="G585" s="95"/>
      <c r="H585" s="95"/>
      <c r="I585" s="103"/>
      <c r="J585" s="95"/>
      <c r="K585" s="95"/>
      <c r="L585" s="104"/>
      <c r="M585" s="104"/>
      <c r="N585" s="95"/>
      <c r="O585" s="95"/>
      <c r="P585" s="95"/>
      <c r="Q585" s="95"/>
      <c r="R585" s="95"/>
      <c r="S585" s="95"/>
      <c r="T585" s="95"/>
      <c r="U585" s="95"/>
      <c r="V585" s="95"/>
      <c r="W585" s="95"/>
      <c r="X585" s="95"/>
      <c r="Y585" s="95"/>
      <c r="Z585" s="95"/>
      <c r="AA585" s="95"/>
      <c r="AB585" s="95"/>
      <c r="AC585" s="95"/>
    </row>
    <row r="586" ht="15.75" customHeight="1" spans="1:29">
      <c r="A586" s="95"/>
      <c r="B586" s="95"/>
      <c r="C586" s="102"/>
      <c r="D586" s="95"/>
      <c r="E586" s="95"/>
      <c r="F586" s="95"/>
      <c r="G586" s="95"/>
      <c r="H586" s="95"/>
      <c r="I586" s="103"/>
      <c r="J586" s="95"/>
      <c r="K586" s="95"/>
      <c r="L586" s="104"/>
      <c r="M586" s="104"/>
      <c r="N586" s="95"/>
      <c r="O586" s="95"/>
      <c r="P586" s="95"/>
      <c r="Q586" s="95"/>
      <c r="R586" s="95"/>
      <c r="S586" s="95"/>
      <c r="T586" s="95"/>
      <c r="U586" s="95"/>
      <c r="V586" s="95"/>
      <c r="W586" s="95"/>
      <c r="X586" s="95"/>
      <c r="Y586" s="95"/>
      <c r="Z586" s="95"/>
      <c r="AA586" s="95"/>
      <c r="AB586" s="95"/>
      <c r="AC586" s="95"/>
    </row>
    <row r="587" ht="15.75" customHeight="1" spans="1:29">
      <c r="A587" s="95"/>
      <c r="B587" s="95"/>
      <c r="C587" s="102"/>
      <c r="D587" s="95"/>
      <c r="E587" s="95"/>
      <c r="F587" s="95"/>
      <c r="G587" s="95"/>
      <c r="H587" s="95"/>
      <c r="I587" s="103"/>
      <c r="J587" s="95"/>
      <c r="K587" s="95"/>
      <c r="L587" s="104"/>
      <c r="M587" s="104"/>
      <c r="N587" s="95"/>
      <c r="O587" s="95"/>
      <c r="P587" s="95"/>
      <c r="Q587" s="95"/>
      <c r="R587" s="95"/>
      <c r="S587" s="95"/>
      <c r="T587" s="95"/>
      <c r="U587" s="95"/>
      <c r="V587" s="95"/>
      <c r="W587" s="95"/>
      <c r="X587" s="95"/>
      <c r="Y587" s="95"/>
      <c r="Z587" s="95"/>
      <c r="AA587" s="95"/>
      <c r="AB587" s="95"/>
      <c r="AC587" s="95"/>
    </row>
    <row r="588" ht="15.75" customHeight="1" spans="1:29">
      <c r="A588" s="95"/>
      <c r="B588" s="95"/>
      <c r="C588" s="102"/>
      <c r="D588" s="95"/>
      <c r="E588" s="95"/>
      <c r="F588" s="95"/>
      <c r="G588" s="95"/>
      <c r="H588" s="95"/>
      <c r="I588" s="103"/>
      <c r="J588" s="95"/>
      <c r="K588" s="95"/>
      <c r="L588" s="104"/>
      <c r="M588" s="104"/>
      <c r="N588" s="95"/>
      <c r="O588" s="95"/>
      <c r="P588" s="95"/>
      <c r="Q588" s="95"/>
      <c r="R588" s="95"/>
      <c r="S588" s="95"/>
      <c r="T588" s="95"/>
      <c r="U588" s="95"/>
      <c r="V588" s="95"/>
      <c r="W588" s="95"/>
      <c r="X588" s="95"/>
      <c r="Y588" s="95"/>
      <c r="Z588" s="95"/>
      <c r="AA588" s="95"/>
      <c r="AB588" s="95"/>
      <c r="AC588" s="95"/>
    </row>
    <row r="589" ht="15.75" customHeight="1" spans="1:29">
      <c r="A589" s="95"/>
      <c r="B589" s="95"/>
      <c r="C589" s="102"/>
      <c r="D589" s="95"/>
      <c r="E589" s="95"/>
      <c r="F589" s="95"/>
      <c r="G589" s="95"/>
      <c r="H589" s="95"/>
      <c r="I589" s="103"/>
      <c r="J589" s="95"/>
      <c r="K589" s="95"/>
      <c r="L589" s="104"/>
      <c r="M589" s="104"/>
      <c r="N589" s="95"/>
      <c r="O589" s="95"/>
      <c r="P589" s="95"/>
      <c r="Q589" s="95"/>
      <c r="R589" s="95"/>
      <c r="S589" s="95"/>
      <c r="T589" s="95"/>
      <c r="U589" s="95"/>
      <c r="V589" s="95"/>
      <c r="W589" s="95"/>
      <c r="X589" s="95"/>
      <c r="Y589" s="95"/>
      <c r="Z589" s="95"/>
      <c r="AA589" s="95"/>
      <c r="AB589" s="95"/>
      <c r="AC589" s="95"/>
    </row>
    <row r="590" ht="15.75" customHeight="1" spans="1:29">
      <c r="A590" s="95"/>
      <c r="B590" s="95"/>
      <c r="C590" s="102"/>
      <c r="D590" s="95"/>
      <c r="E590" s="95"/>
      <c r="F590" s="95"/>
      <c r="G590" s="95"/>
      <c r="H590" s="95"/>
      <c r="I590" s="103"/>
      <c r="J590" s="95"/>
      <c r="K590" s="95"/>
      <c r="L590" s="104"/>
      <c r="M590" s="104"/>
      <c r="N590" s="95"/>
      <c r="O590" s="95"/>
      <c r="P590" s="95"/>
      <c r="Q590" s="95"/>
      <c r="R590" s="95"/>
      <c r="S590" s="95"/>
      <c r="T590" s="95"/>
      <c r="U590" s="95"/>
      <c r="V590" s="95"/>
      <c r="W590" s="95"/>
      <c r="X590" s="95"/>
      <c r="Y590" s="95"/>
      <c r="Z590" s="95"/>
      <c r="AA590" s="95"/>
      <c r="AB590" s="95"/>
      <c r="AC590" s="95"/>
    </row>
    <row r="591" ht="15.75" customHeight="1" spans="1:29">
      <c r="A591" s="95"/>
      <c r="B591" s="95"/>
      <c r="C591" s="102"/>
      <c r="D591" s="95"/>
      <c r="E591" s="95"/>
      <c r="F591" s="95"/>
      <c r="G591" s="95"/>
      <c r="H591" s="95"/>
      <c r="I591" s="103"/>
      <c r="J591" s="95"/>
      <c r="K591" s="95"/>
      <c r="L591" s="104"/>
      <c r="M591" s="106"/>
      <c r="N591" s="95"/>
      <c r="O591" s="95"/>
      <c r="P591" s="95"/>
      <c r="Q591" s="95"/>
      <c r="R591" s="95"/>
      <c r="S591" s="95"/>
      <c r="T591" s="95"/>
      <c r="U591" s="95"/>
      <c r="V591" s="95"/>
      <c r="W591" s="95"/>
      <c r="X591" s="95"/>
      <c r="Y591" s="95"/>
      <c r="Z591" s="95"/>
      <c r="AA591" s="95"/>
      <c r="AB591" s="95"/>
      <c r="AC591" s="95"/>
    </row>
    <row r="592" ht="15.75" customHeight="1" spans="1:29">
      <c r="A592" s="95"/>
      <c r="B592" s="95"/>
      <c r="C592" s="102"/>
      <c r="D592" s="95"/>
      <c r="E592" s="95"/>
      <c r="F592" s="95"/>
      <c r="G592" s="95"/>
      <c r="H592" s="95"/>
      <c r="I592" s="103"/>
      <c r="J592" s="95"/>
      <c r="K592" s="95"/>
      <c r="L592" s="104"/>
      <c r="M592" s="106"/>
      <c r="N592" s="95"/>
      <c r="O592" s="95"/>
      <c r="P592" s="95"/>
      <c r="Q592" s="95"/>
      <c r="R592" s="95"/>
      <c r="S592" s="95"/>
      <c r="T592" s="95"/>
      <c r="U592" s="95"/>
      <c r="V592" s="95"/>
      <c r="W592" s="95"/>
      <c r="X592" s="95"/>
      <c r="Y592" s="95"/>
      <c r="Z592" s="95"/>
      <c r="AA592" s="95"/>
      <c r="AB592" s="95"/>
      <c r="AC592" s="95"/>
    </row>
    <row r="593" ht="15.75" customHeight="1" spans="1:29">
      <c r="A593" s="95"/>
      <c r="B593" s="95"/>
      <c r="C593" s="102"/>
      <c r="D593" s="95"/>
      <c r="E593" s="95"/>
      <c r="F593" s="95"/>
      <c r="G593" s="95"/>
      <c r="H593" s="95"/>
      <c r="I593" s="103"/>
      <c r="J593" s="95"/>
      <c r="K593" s="95"/>
      <c r="L593" s="106"/>
      <c r="M593" s="106"/>
      <c r="N593" s="95"/>
      <c r="O593" s="95"/>
      <c r="P593" s="95"/>
      <c r="Q593" s="95"/>
      <c r="R593" s="95"/>
      <c r="S593" s="95"/>
      <c r="T593" s="95"/>
      <c r="U593" s="95"/>
      <c r="V593" s="95"/>
      <c r="W593" s="95"/>
      <c r="X593" s="95"/>
      <c r="Y593" s="95"/>
      <c r="Z593" s="95"/>
      <c r="AA593" s="95"/>
      <c r="AB593" s="95"/>
      <c r="AC593" s="95"/>
    </row>
    <row r="594" ht="15.75" customHeight="1" spans="1:29">
      <c r="A594" s="95"/>
      <c r="B594" s="95"/>
      <c r="C594" s="102"/>
      <c r="D594" s="95"/>
      <c r="E594" s="95"/>
      <c r="F594" s="95"/>
      <c r="G594" s="95"/>
      <c r="H594" s="95"/>
      <c r="I594" s="105"/>
      <c r="J594" s="95"/>
      <c r="K594" s="95"/>
      <c r="L594" s="104"/>
      <c r="M594" s="104"/>
      <c r="N594" s="95"/>
      <c r="O594" s="95"/>
      <c r="P594" s="95"/>
      <c r="Q594" s="95"/>
      <c r="R594" s="95"/>
      <c r="S594" s="95"/>
      <c r="T594" s="95"/>
      <c r="U594" s="95"/>
      <c r="V594" s="95"/>
      <c r="W594" s="95"/>
      <c r="X594" s="95"/>
      <c r="Y594" s="95"/>
      <c r="Z594" s="95"/>
      <c r="AA594" s="95"/>
      <c r="AB594" s="95"/>
      <c r="AC594" s="95"/>
    </row>
    <row r="595" ht="15.75" customHeight="1" spans="1:29">
      <c r="A595" s="95"/>
      <c r="B595" s="95"/>
      <c r="C595" s="102"/>
      <c r="D595" s="95"/>
      <c r="E595" s="95"/>
      <c r="F595" s="95"/>
      <c r="G595" s="95"/>
      <c r="H595" s="95"/>
      <c r="I595" s="105"/>
      <c r="J595" s="95"/>
      <c r="K595" s="95"/>
      <c r="L595" s="104"/>
      <c r="M595" s="104"/>
      <c r="N595" s="95"/>
      <c r="O595" s="95"/>
      <c r="P595" s="95"/>
      <c r="Q595" s="95"/>
      <c r="R595" s="95"/>
      <c r="S595" s="95"/>
      <c r="T595" s="95"/>
      <c r="U595" s="95"/>
      <c r="V595" s="95"/>
      <c r="W595" s="95"/>
      <c r="X595" s="95"/>
      <c r="Y595" s="95"/>
      <c r="Z595" s="95"/>
      <c r="AA595" s="95"/>
      <c r="AB595" s="95"/>
      <c r="AC595" s="95"/>
    </row>
    <row r="596" ht="15.75" customHeight="1" spans="1:29">
      <c r="A596" s="95"/>
      <c r="B596" s="95"/>
      <c r="C596" s="102"/>
      <c r="D596" s="95"/>
      <c r="E596" s="95"/>
      <c r="F596" s="95"/>
      <c r="G596" s="95"/>
      <c r="H596" s="95"/>
      <c r="I596" s="105"/>
      <c r="J596" s="95"/>
      <c r="K596" s="95"/>
      <c r="L596" s="106"/>
      <c r="M596" s="106"/>
      <c r="N596" s="95"/>
      <c r="O596" s="95"/>
      <c r="P596" s="95"/>
      <c r="Q596" s="95"/>
      <c r="R596" s="95"/>
      <c r="S596" s="95"/>
      <c r="T596" s="95"/>
      <c r="U596" s="95"/>
      <c r="V596" s="95"/>
      <c r="W596" s="95"/>
      <c r="X596" s="95"/>
      <c r="Y596" s="95"/>
      <c r="Z596" s="95"/>
      <c r="AA596" s="95"/>
      <c r="AB596" s="95"/>
      <c r="AC596" s="95"/>
    </row>
    <row r="597" ht="15.75" customHeight="1" spans="1:29">
      <c r="A597" s="95"/>
      <c r="B597" s="95"/>
      <c r="C597" s="102"/>
      <c r="D597" s="95"/>
      <c r="E597" s="95"/>
      <c r="F597" s="95"/>
      <c r="G597" s="95"/>
      <c r="H597" s="95"/>
      <c r="I597" s="105"/>
      <c r="J597" s="95"/>
      <c r="K597" s="95"/>
      <c r="L597" s="104"/>
      <c r="M597" s="104"/>
      <c r="N597" s="95"/>
      <c r="O597" s="95"/>
      <c r="P597" s="95"/>
      <c r="Q597" s="95"/>
      <c r="R597" s="95"/>
      <c r="S597" s="95"/>
      <c r="T597" s="95"/>
      <c r="U597" s="95"/>
      <c r="V597" s="95"/>
      <c r="W597" s="95"/>
      <c r="X597" s="95"/>
      <c r="Y597" s="95"/>
      <c r="Z597" s="95"/>
      <c r="AA597" s="95"/>
      <c r="AB597" s="95"/>
      <c r="AC597" s="95"/>
    </row>
    <row r="598" ht="15.75" customHeight="1" spans="1:29">
      <c r="A598" s="95"/>
      <c r="B598" s="95"/>
      <c r="C598" s="102"/>
      <c r="D598" s="95"/>
      <c r="E598" s="95"/>
      <c r="F598" s="95"/>
      <c r="G598" s="95"/>
      <c r="H598" s="95"/>
      <c r="I598" s="105"/>
      <c r="J598" s="95"/>
      <c r="K598" s="95"/>
      <c r="L598" s="104"/>
      <c r="M598" s="104"/>
      <c r="N598" s="95"/>
      <c r="O598" s="95"/>
      <c r="P598" s="95"/>
      <c r="Q598" s="95"/>
      <c r="R598" s="95"/>
      <c r="S598" s="95"/>
      <c r="T598" s="95"/>
      <c r="U598" s="95"/>
      <c r="V598" s="95"/>
      <c r="W598" s="95"/>
      <c r="X598" s="95"/>
      <c r="Y598" s="95"/>
      <c r="Z598" s="95"/>
      <c r="AA598" s="95"/>
      <c r="AB598" s="95"/>
      <c r="AC598" s="95"/>
    </row>
    <row r="599" ht="15.75" customHeight="1" spans="1:29">
      <c r="A599" s="95"/>
      <c r="B599" s="95"/>
      <c r="C599" s="102"/>
      <c r="D599" s="95"/>
      <c r="E599" s="95"/>
      <c r="F599" s="95"/>
      <c r="G599" s="95"/>
      <c r="H599" s="95"/>
      <c r="I599" s="105"/>
      <c r="J599" s="95"/>
      <c r="K599" s="95"/>
      <c r="L599" s="104"/>
      <c r="M599" s="104"/>
      <c r="N599" s="95"/>
      <c r="O599" s="95"/>
      <c r="P599" s="95"/>
      <c r="Q599" s="95"/>
      <c r="R599" s="95"/>
      <c r="S599" s="95"/>
      <c r="T599" s="95"/>
      <c r="U599" s="95"/>
      <c r="V599" s="95"/>
      <c r="W599" s="95"/>
      <c r="X599" s="95"/>
      <c r="Y599" s="95"/>
      <c r="Z599" s="95"/>
      <c r="AA599" s="95"/>
      <c r="AB599" s="95"/>
      <c r="AC599" s="95"/>
    </row>
    <row r="600" ht="15.75" customHeight="1" spans="1:29">
      <c r="A600" s="95"/>
      <c r="B600" s="95"/>
      <c r="C600" s="102"/>
      <c r="D600" s="95"/>
      <c r="E600" s="95"/>
      <c r="F600" s="95"/>
      <c r="G600" s="95"/>
      <c r="H600" s="95"/>
      <c r="I600" s="103"/>
      <c r="J600" s="95"/>
      <c r="K600" s="95"/>
      <c r="L600" s="106"/>
      <c r="M600" s="104"/>
      <c r="N600" s="95"/>
      <c r="O600" s="95"/>
      <c r="P600" s="95"/>
      <c r="Q600" s="95"/>
      <c r="R600" s="95"/>
      <c r="S600" s="95"/>
      <c r="T600" s="95"/>
      <c r="U600" s="95"/>
      <c r="V600" s="95"/>
      <c r="W600" s="95"/>
      <c r="X600" s="95"/>
      <c r="Y600" s="95"/>
      <c r="Z600" s="95"/>
      <c r="AA600" s="95"/>
      <c r="AB600" s="95"/>
      <c r="AC600" s="95"/>
    </row>
    <row r="601" ht="15.75" customHeight="1" spans="1:29">
      <c r="A601" s="95"/>
      <c r="B601" s="95"/>
      <c r="C601" s="102"/>
      <c r="D601" s="95"/>
      <c r="E601" s="95"/>
      <c r="F601" s="95"/>
      <c r="G601" s="95"/>
      <c r="H601" s="95"/>
      <c r="I601" s="103"/>
      <c r="J601" s="95"/>
      <c r="K601" s="95"/>
      <c r="L601" s="106"/>
      <c r="M601" s="104"/>
      <c r="N601" s="95"/>
      <c r="O601" s="95"/>
      <c r="P601" s="95"/>
      <c r="Q601" s="95"/>
      <c r="R601" s="95"/>
      <c r="S601" s="95"/>
      <c r="T601" s="95"/>
      <c r="U601" s="95"/>
      <c r="V601" s="95"/>
      <c r="W601" s="95"/>
      <c r="X601" s="95"/>
      <c r="Y601" s="95"/>
      <c r="Z601" s="95"/>
      <c r="AA601" s="95"/>
      <c r="AB601" s="95"/>
      <c r="AC601" s="95"/>
    </row>
    <row r="602" ht="15.75" customHeight="1" spans="1:29">
      <c r="A602" s="95"/>
      <c r="B602" s="95"/>
      <c r="C602" s="102"/>
      <c r="D602" s="95"/>
      <c r="E602" s="95"/>
      <c r="F602" s="95"/>
      <c r="G602" s="95"/>
      <c r="H602" s="95"/>
      <c r="I602" s="103"/>
      <c r="J602" s="95"/>
      <c r="K602" s="95"/>
      <c r="L602" s="104"/>
      <c r="M602" s="104"/>
      <c r="N602" s="95"/>
      <c r="O602" s="95"/>
      <c r="P602" s="95"/>
      <c r="Q602" s="95"/>
      <c r="R602" s="95"/>
      <c r="S602" s="95"/>
      <c r="T602" s="95"/>
      <c r="U602" s="95"/>
      <c r="V602" s="95"/>
      <c r="W602" s="95"/>
      <c r="X602" s="95"/>
      <c r="Y602" s="95"/>
      <c r="Z602" s="95"/>
      <c r="AA602" s="95"/>
      <c r="AB602" s="95"/>
      <c r="AC602" s="95"/>
    </row>
    <row r="603" ht="15.75" customHeight="1" spans="1:29">
      <c r="A603" s="95"/>
      <c r="B603" s="95"/>
      <c r="C603" s="102"/>
      <c r="D603" s="95"/>
      <c r="E603" s="95"/>
      <c r="F603" s="95"/>
      <c r="G603" s="95"/>
      <c r="H603" s="95"/>
      <c r="I603" s="103"/>
      <c r="J603" s="95"/>
      <c r="K603" s="95"/>
      <c r="L603" s="104"/>
      <c r="M603" s="104"/>
      <c r="N603" s="95"/>
      <c r="O603" s="95"/>
      <c r="P603" s="95"/>
      <c r="Q603" s="95"/>
      <c r="R603" s="95"/>
      <c r="S603" s="95"/>
      <c r="T603" s="95"/>
      <c r="U603" s="95"/>
      <c r="V603" s="95"/>
      <c r="W603" s="95"/>
      <c r="X603" s="95"/>
      <c r="Y603" s="95"/>
      <c r="Z603" s="95"/>
      <c r="AA603" s="95"/>
      <c r="AB603" s="95"/>
      <c r="AC603" s="95"/>
    </row>
    <row r="604" ht="15.75" customHeight="1" spans="1:29">
      <c r="A604" s="95"/>
      <c r="B604" s="95"/>
      <c r="C604" s="102"/>
      <c r="D604" s="95"/>
      <c r="E604" s="95"/>
      <c r="F604" s="95"/>
      <c r="G604" s="95"/>
      <c r="H604" s="95"/>
      <c r="I604" s="103"/>
      <c r="J604" s="95"/>
      <c r="K604" s="95"/>
      <c r="L604" s="106"/>
      <c r="M604" s="104"/>
      <c r="N604" s="95"/>
      <c r="O604" s="95"/>
      <c r="P604" s="95"/>
      <c r="Q604" s="95"/>
      <c r="R604" s="95"/>
      <c r="S604" s="95"/>
      <c r="T604" s="95"/>
      <c r="U604" s="95"/>
      <c r="V604" s="95"/>
      <c r="W604" s="95"/>
      <c r="X604" s="95"/>
      <c r="Y604" s="95"/>
      <c r="Z604" s="95"/>
      <c r="AA604" s="95"/>
      <c r="AB604" s="95"/>
      <c r="AC604" s="95"/>
    </row>
    <row r="605" ht="15.75" customHeight="1" spans="1:29">
      <c r="A605" s="95"/>
      <c r="B605" s="95"/>
      <c r="C605" s="102"/>
      <c r="D605" s="95"/>
      <c r="E605" s="95"/>
      <c r="F605" s="95"/>
      <c r="G605" s="95"/>
      <c r="H605" s="95"/>
      <c r="I605" s="103"/>
      <c r="J605" s="95"/>
      <c r="K605" s="95"/>
      <c r="L605" s="104"/>
      <c r="M605" s="104"/>
      <c r="N605" s="95"/>
      <c r="O605" s="95"/>
      <c r="P605" s="95"/>
      <c r="Q605" s="95"/>
      <c r="R605" s="95"/>
      <c r="S605" s="95"/>
      <c r="T605" s="95"/>
      <c r="U605" s="95"/>
      <c r="V605" s="95"/>
      <c r="W605" s="95"/>
      <c r="X605" s="95"/>
      <c r="Y605" s="95"/>
      <c r="Z605" s="95"/>
      <c r="AA605" s="95"/>
      <c r="AB605" s="95"/>
      <c r="AC605" s="95"/>
    </row>
    <row r="606" ht="15.75" customHeight="1" spans="1:29">
      <c r="A606" s="95"/>
      <c r="B606" s="95"/>
      <c r="C606" s="102"/>
      <c r="D606" s="95"/>
      <c r="E606" s="95"/>
      <c r="F606" s="95"/>
      <c r="G606" s="95"/>
      <c r="H606" s="95"/>
      <c r="I606" s="103"/>
      <c r="J606" s="95"/>
      <c r="K606" s="95"/>
      <c r="L606" s="104"/>
      <c r="M606" s="104"/>
      <c r="N606" s="95"/>
      <c r="O606" s="95"/>
      <c r="P606" s="95"/>
      <c r="Q606" s="95"/>
      <c r="R606" s="95"/>
      <c r="S606" s="95"/>
      <c r="T606" s="95"/>
      <c r="U606" s="95"/>
      <c r="V606" s="95"/>
      <c r="W606" s="95"/>
      <c r="X606" s="95"/>
      <c r="Y606" s="95"/>
      <c r="Z606" s="95"/>
      <c r="AA606" s="95"/>
      <c r="AB606" s="95"/>
      <c r="AC606" s="95"/>
    </row>
    <row r="607" ht="15.75" customHeight="1" spans="1:29">
      <c r="A607" s="95"/>
      <c r="B607" s="95"/>
      <c r="C607" s="102"/>
      <c r="D607" s="95"/>
      <c r="E607" s="95"/>
      <c r="F607" s="95"/>
      <c r="G607" s="95"/>
      <c r="H607" s="95"/>
      <c r="I607" s="103"/>
      <c r="J607" s="95"/>
      <c r="K607" s="95"/>
      <c r="L607" s="104"/>
      <c r="M607" s="104"/>
      <c r="N607" s="95"/>
      <c r="O607" s="95"/>
      <c r="P607" s="95"/>
      <c r="Q607" s="95"/>
      <c r="R607" s="95"/>
      <c r="S607" s="95"/>
      <c r="T607" s="95"/>
      <c r="U607" s="95"/>
      <c r="V607" s="95"/>
      <c r="W607" s="95"/>
      <c r="X607" s="95"/>
      <c r="Y607" s="95"/>
      <c r="Z607" s="95"/>
      <c r="AA607" s="95"/>
      <c r="AB607" s="95"/>
      <c r="AC607" s="95"/>
    </row>
    <row r="608" ht="15.75" customHeight="1" spans="1:29">
      <c r="A608" s="95"/>
      <c r="B608" s="95"/>
      <c r="C608" s="102"/>
      <c r="D608" s="95"/>
      <c r="E608" s="95"/>
      <c r="F608" s="95"/>
      <c r="G608" s="95"/>
      <c r="H608" s="95"/>
      <c r="I608" s="103"/>
      <c r="J608" s="95"/>
      <c r="K608" s="95"/>
      <c r="L608" s="104"/>
      <c r="M608" s="106"/>
      <c r="N608" s="95"/>
      <c r="O608" s="95"/>
      <c r="P608" s="95"/>
      <c r="Q608" s="95"/>
      <c r="R608" s="95"/>
      <c r="S608" s="95"/>
      <c r="T608" s="95"/>
      <c r="U608" s="95"/>
      <c r="V608" s="95"/>
      <c r="W608" s="95"/>
      <c r="X608" s="95"/>
      <c r="Y608" s="95"/>
      <c r="Z608" s="95"/>
      <c r="AA608" s="95"/>
      <c r="AB608" s="95"/>
      <c r="AC608" s="95"/>
    </row>
    <row r="609" ht="15.75" customHeight="1" spans="1:29">
      <c r="A609" s="95"/>
      <c r="B609" s="95"/>
      <c r="C609" s="102"/>
      <c r="D609" s="95"/>
      <c r="E609" s="95"/>
      <c r="F609" s="95"/>
      <c r="G609" s="95"/>
      <c r="H609" s="95"/>
      <c r="I609" s="103"/>
      <c r="J609" s="95"/>
      <c r="K609" s="95"/>
      <c r="L609" s="104"/>
      <c r="M609" s="104"/>
      <c r="N609" s="95"/>
      <c r="O609" s="95"/>
      <c r="P609" s="95"/>
      <c r="Q609" s="95"/>
      <c r="R609" s="95"/>
      <c r="S609" s="95"/>
      <c r="T609" s="95"/>
      <c r="U609" s="95"/>
      <c r="V609" s="95"/>
      <c r="W609" s="95"/>
      <c r="X609" s="95"/>
      <c r="Y609" s="95"/>
      <c r="Z609" s="95"/>
      <c r="AA609" s="95"/>
      <c r="AB609" s="95"/>
      <c r="AC609" s="95"/>
    </row>
    <row r="610" ht="15.75" customHeight="1" spans="1:29">
      <c r="A610" s="95"/>
      <c r="B610" s="95"/>
      <c r="C610" s="102"/>
      <c r="D610" s="95"/>
      <c r="E610" s="95"/>
      <c r="F610" s="95"/>
      <c r="G610" s="95"/>
      <c r="H610" s="95"/>
      <c r="I610" s="103"/>
      <c r="J610" s="95"/>
      <c r="K610" s="95"/>
      <c r="L610" s="104"/>
      <c r="M610" s="104"/>
      <c r="N610" s="95"/>
      <c r="O610" s="95"/>
      <c r="P610" s="95"/>
      <c r="Q610" s="95"/>
      <c r="R610" s="95"/>
      <c r="S610" s="95"/>
      <c r="T610" s="95"/>
      <c r="U610" s="95"/>
      <c r="V610" s="95"/>
      <c r="W610" s="95"/>
      <c r="X610" s="95"/>
      <c r="Y610" s="95"/>
      <c r="Z610" s="95"/>
      <c r="AA610" s="95"/>
      <c r="AB610" s="95"/>
      <c r="AC610" s="95"/>
    </row>
    <row r="611" ht="15.75" customHeight="1" spans="1:29">
      <c r="A611" s="95"/>
      <c r="B611" s="95"/>
      <c r="C611" s="102"/>
      <c r="D611" s="95"/>
      <c r="E611" s="95"/>
      <c r="F611" s="95"/>
      <c r="G611" s="95"/>
      <c r="H611" s="95"/>
      <c r="I611" s="105"/>
      <c r="J611" s="95"/>
      <c r="K611" s="95"/>
      <c r="L611" s="104"/>
      <c r="M611" s="104"/>
      <c r="N611" s="95"/>
      <c r="O611" s="95"/>
      <c r="P611" s="95"/>
      <c r="Q611" s="95"/>
      <c r="R611" s="95"/>
      <c r="S611" s="95"/>
      <c r="T611" s="95"/>
      <c r="U611" s="95"/>
      <c r="V611" s="95"/>
      <c r="W611" s="95"/>
      <c r="X611" s="95"/>
      <c r="Y611" s="95"/>
      <c r="Z611" s="95"/>
      <c r="AA611" s="95"/>
      <c r="AB611" s="95"/>
      <c r="AC611" s="95"/>
    </row>
    <row r="612" ht="15.75" customHeight="1" spans="1:29">
      <c r="A612" s="95"/>
      <c r="B612" s="95"/>
      <c r="C612" s="102"/>
      <c r="D612" s="95"/>
      <c r="E612" s="95"/>
      <c r="F612" s="95"/>
      <c r="G612" s="95"/>
      <c r="H612" s="95"/>
      <c r="I612" s="105"/>
      <c r="J612" s="95"/>
      <c r="K612" s="95"/>
      <c r="L612" s="104"/>
      <c r="M612" s="104"/>
      <c r="N612" s="95"/>
      <c r="O612" s="95"/>
      <c r="P612" s="95"/>
      <c r="Q612" s="95"/>
      <c r="R612" s="95"/>
      <c r="S612" s="95"/>
      <c r="T612" s="95"/>
      <c r="U612" s="95"/>
      <c r="V612" s="95"/>
      <c r="W612" s="95"/>
      <c r="X612" s="95"/>
      <c r="Y612" s="95"/>
      <c r="Z612" s="95"/>
      <c r="AA612" s="95"/>
      <c r="AB612" s="95"/>
      <c r="AC612" s="95"/>
    </row>
    <row r="613" ht="15.75" customHeight="1" spans="1:29">
      <c r="A613" s="95"/>
      <c r="B613" s="95"/>
      <c r="C613" s="102"/>
      <c r="D613" s="95"/>
      <c r="E613" s="95"/>
      <c r="F613" s="95"/>
      <c r="G613" s="95"/>
      <c r="H613" s="95"/>
      <c r="I613" s="105"/>
      <c r="J613" s="95"/>
      <c r="K613" s="95"/>
      <c r="L613" s="104"/>
      <c r="M613" s="106"/>
      <c r="N613" s="95"/>
      <c r="O613" s="95"/>
      <c r="P613" s="95"/>
      <c r="Q613" s="95"/>
      <c r="R613" s="95"/>
      <c r="S613" s="95"/>
      <c r="T613" s="95"/>
      <c r="U613" s="95"/>
      <c r="V613" s="95"/>
      <c r="W613" s="95"/>
      <c r="X613" s="95"/>
      <c r="Y613" s="95"/>
      <c r="Z613" s="95"/>
      <c r="AA613" s="95"/>
      <c r="AB613" s="95"/>
      <c r="AC613" s="95"/>
    </row>
    <row r="614" ht="15.75" customHeight="1" spans="1:29">
      <c r="A614" s="95"/>
      <c r="B614" s="95"/>
      <c r="C614" s="102"/>
      <c r="D614" s="95"/>
      <c r="E614" s="95"/>
      <c r="F614" s="95"/>
      <c r="G614" s="95"/>
      <c r="H614" s="95"/>
      <c r="I614" s="105"/>
      <c r="J614" s="95"/>
      <c r="K614" s="95"/>
      <c r="L614" s="104"/>
      <c r="M614" s="104"/>
      <c r="N614" s="95"/>
      <c r="O614" s="95"/>
      <c r="P614" s="95"/>
      <c r="Q614" s="95"/>
      <c r="R614" s="95"/>
      <c r="S614" s="95"/>
      <c r="T614" s="95"/>
      <c r="U614" s="95"/>
      <c r="V614" s="95"/>
      <c r="W614" s="95"/>
      <c r="X614" s="95"/>
      <c r="Y614" s="95"/>
      <c r="Z614" s="95"/>
      <c r="AA614" s="95"/>
      <c r="AB614" s="95"/>
      <c r="AC614" s="95"/>
    </row>
    <row r="615" ht="15.75" customHeight="1" spans="1:29">
      <c r="A615" s="95"/>
      <c r="B615" s="95"/>
      <c r="C615" s="102"/>
      <c r="D615" s="95"/>
      <c r="E615" s="95"/>
      <c r="F615" s="95"/>
      <c r="G615" s="95"/>
      <c r="H615" s="95"/>
      <c r="I615" s="105"/>
      <c r="J615" s="95"/>
      <c r="K615" s="95"/>
      <c r="L615" s="104"/>
      <c r="M615" s="104"/>
      <c r="N615" s="95"/>
      <c r="O615" s="95"/>
      <c r="P615" s="95"/>
      <c r="Q615" s="95"/>
      <c r="R615" s="95"/>
      <c r="S615" s="95"/>
      <c r="T615" s="95"/>
      <c r="U615" s="95"/>
      <c r="V615" s="95"/>
      <c r="W615" s="95"/>
      <c r="X615" s="95"/>
      <c r="Y615" s="95"/>
      <c r="Z615" s="95"/>
      <c r="AA615" s="95"/>
      <c r="AB615" s="95"/>
      <c r="AC615" s="95"/>
    </row>
    <row r="616" ht="15.75" customHeight="1" spans="1:29">
      <c r="A616" s="95"/>
      <c r="B616" s="95"/>
      <c r="C616" s="102"/>
      <c r="D616" s="95"/>
      <c r="E616" s="95"/>
      <c r="F616" s="95"/>
      <c r="G616" s="95"/>
      <c r="H616" s="95"/>
      <c r="I616" s="105"/>
      <c r="J616" s="95"/>
      <c r="K616" s="95"/>
      <c r="L616" s="106"/>
      <c r="M616" s="104"/>
      <c r="N616" s="95"/>
      <c r="O616" s="95"/>
      <c r="P616" s="95"/>
      <c r="Q616" s="95"/>
      <c r="R616" s="95"/>
      <c r="S616" s="95"/>
      <c r="T616" s="95"/>
      <c r="U616" s="95"/>
      <c r="V616" s="95"/>
      <c r="W616" s="95"/>
      <c r="X616" s="95"/>
      <c r="Y616" s="95"/>
      <c r="Z616" s="95"/>
      <c r="AA616" s="95"/>
      <c r="AB616" s="95"/>
      <c r="AC616" s="95"/>
    </row>
    <row r="617" ht="15.75" customHeight="1" spans="1:29">
      <c r="A617" s="95"/>
      <c r="B617" s="95"/>
      <c r="C617" s="102"/>
      <c r="D617" s="95"/>
      <c r="E617" s="95"/>
      <c r="F617" s="95"/>
      <c r="G617" s="95"/>
      <c r="H617" s="95"/>
      <c r="I617" s="105"/>
      <c r="J617" s="95"/>
      <c r="K617" s="95"/>
      <c r="L617" s="104"/>
      <c r="M617" s="106"/>
      <c r="N617" s="95"/>
      <c r="O617" s="95"/>
      <c r="P617" s="95"/>
      <c r="Q617" s="95"/>
      <c r="R617" s="95"/>
      <c r="S617" s="95"/>
      <c r="T617" s="95"/>
      <c r="U617" s="95"/>
      <c r="V617" s="95"/>
      <c r="W617" s="95"/>
      <c r="X617" s="95"/>
      <c r="Y617" s="95"/>
      <c r="Z617" s="95"/>
      <c r="AA617" s="95"/>
      <c r="AB617" s="95"/>
      <c r="AC617" s="95"/>
    </row>
    <row r="618" ht="15.75" customHeight="1" spans="1:29">
      <c r="A618" s="95"/>
      <c r="B618" s="95"/>
      <c r="C618" s="102"/>
      <c r="D618" s="95"/>
      <c r="E618" s="95"/>
      <c r="F618" s="95"/>
      <c r="G618" s="95"/>
      <c r="H618" s="95"/>
      <c r="I618" s="105"/>
      <c r="J618" s="95"/>
      <c r="K618" s="95"/>
      <c r="L618" s="104"/>
      <c r="M618" s="104"/>
      <c r="N618" s="95"/>
      <c r="O618" s="95"/>
      <c r="P618" s="95"/>
      <c r="Q618" s="95"/>
      <c r="R618" s="95"/>
      <c r="S618" s="95"/>
      <c r="T618" s="95"/>
      <c r="U618" s="95"/>
      <c r="V618" s="95"/>
      <c r="W618" s="95"/>
      <c r="X618" s="95"/>
      <c r="Y618" s="95"/>
      <c r="Z618" s="95"/>
      <c r="AA618" s="95"/>
      <c r="AB618" s="95"/>
      <c r="AC618" s="95"/>
    </row>
    <row r="619" ht="15.75" customHeight="1" spans="1:29">
      <c r="A619" s="95"/>
      <c r="B619" s="95"/>
      <c r="C619" s="102"/>
      <c r="D619" s="95"/>
      <c r="E619" s="95"/>
      <c r="F619" s="95"/>
      <c r="G619" s="95"/>
      <c r="H619" s="95"/>
      <c r="I619" s="105"/>
      <c r="J619" s="95"/>
      <c r="K619" s="95"/>
      <c r="L619" s="104"/>
      <c r="M619" s="104"/>
      <c r="N619" s="95"/>
      <c r="O619" s="95"/>
      <c r="P619" s="95"/>
      <c r="Q619" s="95"/>
      <c r="R619" s="95"/>
      <c r="S619" s="95"/>
      <c r="T619" s="95"/>
      <c r="U619" s="95"/>
      <c r="V619" s="95"/>
      <c r="W619" s="95"/>
      <c r="X619" s="95"/>
      <c r="Y619" s="95"/>
      <c r="Z619" s="95"/>
      <c r="AA619" s="95"/>
      <c r="AB619" s="95"/>
      <c r="AC619" s="95"/>
    </row>
    <row r="620" ht="15.75" customHeight="1" spans="1:29">
      <c r="A620" s="95"/>
      <c r="B620" s="95"/>
      <c r="C620" s="102"/>
      <c r="D620" s="95"/>
      <c r="E620" s="95"/>
      <c r="F620" s="95"/>
      <c r="G620" s="95"/>
      <c r="H620" s="95"/>
      <c r="I620" s="105"/>
      <c r="J620" s="95"/>
      <c r="K620" s="95"/>
      <c r="L620" s="104"/>
      <c r="M620" s="106"/>
      <c r="N620" s="95"/>
      <c r="O620" s="95"/>
      <c r="P620" s="95"/>
      <c r="Q620" s="95"/>
      <c r="R620" s="95"/>
      <c r="S620" s="95"/>
      <c r="T620" s="95"/>
      <c r="U620" s="95"/>
      <c r="V620" s="95"/>
      <c r="W620" s="95"/>
      <c r="X620" s="95"/>
      <c r="Y620" s="95"/>
      <c r="Z620" s="95"/>
      <c r="AA620" s="95"/>
      <c r="AB620" s="95"/>
      <c r="AC620" s="95"/>
    </row>
    <row r="621" ht="15.75" customHeight="1" spans="1:29">
      <c r="A621" s="95"/>
      <c r="B621" s="95"/>
      <c r="C621" s="102"/>
      <c r="D621" s="95"/>
      <c r="E621" s="95"/>
      <c r="F621" s="95"/>
      <c r="G621" s="95"/>
      <c r="H621" s="95"/>
      <c r="I621" s="103"/>
      <c r="J621" s="95"/>
      <c r="K621" s="95"/>
      <c r="L621" s="104"/>
      <c r="M621" s="104"/>
      <c r="N621" s="95"/>
      <c r="O621" s="95"/>
      <c r="P621" s="95"/>
      <c r="Q621" s="95"/>
      <c r="R621" s="95"/>
      <c r="S621" s="95"/>
      <c r="T621" s="95"/>
      <c r="U621" s="95"/>
      <c r="V621" s="95"/>
      <c r="W621" s="95"/>
      <c r="X621" s="95"/>
      <c r="Y621" s="95"/>
      <c r="Z621" s="95"/>
      <c r="AA621" s="95"/>
      <c r="AB621" s="95"/>
      <c r="AC621" s="95"/>
    </row>
    <row r="622" ht="15.75" customHeight="1" spans="1:29">
      <c r="A622" s="95"/>
      <c r="B622" s="95"/>
      <c r="C622" s="102"/>
      <c r="D622" s="95"/>
      <c r="E622" s="95"/>
      <c r="F622" s="95"/>
      <c r="G622" s="95"/>
      <c r="H622" s="95"/>
      <c r="I622" s="105"/>
      <c r="J622" s="95"/>
      <c r="K622" s="95"/>
      <c r="L622" s="104"/>
      <c r="M622" s="104"/>
      <c r="N622" s="95"/>
      <c r="O622" s="95"/>
      <c r="P622" s="95"/>
      <c r="Q622" s="95"/>
      <c r="R622" s="95"/>
      <c r="S622" s="95"/>
      <c r="T622" s="95"/>
      <c r="U622" s="95"/>
      <c r="V622" s="95"/>
      <c r="W622" s="95"/>
      <c r="X622" s="95"/>
      <c r="Y622" s="95"/>
      <c r="Z622" s="95"/>
      <c r="AA622" s="95"/>
      <c r="AB622" s="95"/>
      <c r="AC622" s="95"/>
    </row>
    <row r="623" ht="15.75" customHeight="1" spans="1:29">
      <c r="A623" s="95"/>
      <c r="B623" s="95"/>
      <c r="C623" s="102"/>
      <c r="D623" s="95"/>
      <c r="E623" s="95"/>
      <c r="F623" s="95"/>
      <c r="G623" s="95"/>
      <c r="H623" s="95"/>
      <c r="I623" s="105"/>
      <c r="J623" s="95"/>
      <c r="K623" s="95"/>
      <c r="L623" s="104"/>
      <c r="M623" s="104"/>
      <c r="N623" s="95"/>
      <c r="O623" s="95"/>
      <c r="P623" s="95"/>
      <c r="Q623" s="95"/>
      <c r="R623" s="95"/>
      <c r="S623" s="95"/>
      <c r="T623" s="95"/>
      <c r="U623" s="95"/>
      <c r="V623" s="95"/>
      <c r="W623" s="95"/>
      <c r="X623" s="95"/>
      <c r="Y623" s="95"/>
      <c r="Z623" s="95"/>
      <c r="AA623" s="95"/>
      <c r="AB623" s="95"/>
      <c r="AC623" s="95"/>
    </row>
    <row r="624" ht="15.75" customHeight="1" spans="1:29">
      <c r="A624" s="95"/>
      <c r="B624" s="95"/>
      <c r="C624" s="102"/>
      <c r="D624" s="95"/>
      <c r="E624" s="95"/>
      <c r="F624" s="95"/>
      <c r="G624" s="95"/>
      <c r="H624" s="95"/>
      <c r="I624" s="105"/>
      <c r="J624" s="95"/>
      <c r="K624" s="95"/>
      <c r="L624" s="104"/>
      <c r="M624" s="104"/>
      <c r="N624" s="95"/>
      <c r="O624" s="95"/>
      <c r="P624" s="95"/>
      <c r="Q624" s="95"/>
      <c r="R624" s="95"/>
      <c r="S624" s="95"/>
      <c r="T624" s="95"/>
      <c r="U624" s="95"/>
      <c r="V624" s="95"/>
      <c r="W624" s="95"/>
      <c r="X624" s="95"/>
      <c r="Y624" s="95"/>
      <c r="Z624" s="95"/>
      <c r="AA624" s="95"/>
      <c r="AB624" s="95"/>
      <c r="AC624" s="95"/>
    </row>
    <row r="625" ht="15.75" customHeight="1" spans="1:29">
      <c r="A625" s="95"/>
      <c r="B625" s="95"/>
      <c r="C625" s="102"/>
      <c r="D625" s="95"/>
      <c r="E625" s="95"/>
      <c r="F625" s="95"/>
      <c r="G625" s="95"/>
      <c r="H625" s="95"/>
      <c r="I625" s="105"/>
      <c r="J625" s="95"/>
      <c r="K625" s="95"/>
      <c r="L625" s="104"/>
      <c r="M625" s="106"/>
      <c r="N625" s="95"/>
      <c r="O625" s="95"/>
      <c r="P625" s="95"/>
      <c r="Q625" s="95"/>
      <c r="R625" s="95"/>
      <c r="S625" s="95"/>
      <c r="T625" s="95"/>
      <c r="U625" s="95"/>
      <c r="V625" s="95"/>
      <c r="W625" s="95"/>
      <c r="X625" s="95"/>
      <c r="Y625" s="95"/>
      <c r="Z625" s="95"/>
      <c r="AA625" s="95"/>
      <c r="AB625" s="95"/>
      <c r="AC625" s="95"/>
    </row>
    <row r="626" ht="15.75" customHeight="1" spans="1:29">
      <c r="A626" s="95"/>
      <c r="B626" s="95"/>
      <c r="C626" s="102"/>
      <c r="D626" s="95"/>
      <c r="E626" s="95"/>
      <c r="F626" s="95"/>
      <c r="G626" s="95"/>
      <c r="H626" s="95"/>
      <c r="I626" s="105"/>
      <c r="J626" s="95"/>
      <c r="K626" s="95"/>
      <c r="L626" s="104"/>
      <c r="M626" s="104"/>
      <c r="N626" s="95"/>
      <c r="O626" s="95"/>
      <c r="P626" s="95"/>
      <c r="Q626" s="95"/>
      <c r="R626" s="95"/>
      <c r="S626" s="95"/>
      <c r="T626" s="95"/>
      <c r="U626" s="95"/>
      <c r="V626" s="95"/>
      <c r="W626" s="95"/>
      <c r="X626" s="95"/>
      <c r="Y626" s="95"/>
      <c r="Z626" s="95"/>
      <c r="AA626" s="95"/>
      <c r="AB626" s="95"/>
      <c r="AC626" s="95"/>
    </row>
    <row r="627" ht="15.75" customHeight="1" spans="1:29">
      <c r="A627" s="95"/>
      <c r="B627" s="95"/>
      <c r="C627" s="102"/>
      <c r="D627" s="95"/>
      <c r="E627" s="95"/>
      <c r="F627" s="95"/>
      <c r="G627" s="95"/>
      <c r="H627" s="95"/>
      <c r="I627" s="105"/>
      <c r="J627" s="95"/>
      <c r="K627" s="95"/>
      <c r="L627" s="104"/>
      <c r="M627" s="104"/>
      <c r="N627" s="95"/>
      <c r="O627" s="95"/>
      <c r="P627" s="95"/>
      <c r="Q627" s="95"/>
      <c r="R627" s="95"/>
      <c r="S627" s="95"/>
      <c r="T627" s="95"/>
      <c r="U627" s="95"/>
      <c r="V627" s="95"/>
      <c r="W627" s="95"/>
      <c r="X627" s="95"/>
      <c r="Y627" s="95"/>
      <c r="Z627" s="95"/>
      <c r="AA627" s="95"/>
      <c r="AB627" s="95"/>
      <c r="AC627" s="95"/>
    </row>
    <row r="628" ht="15.75" customHeight="1" spans="1:29">
      <c r="A628" s="95"/>
      <c r="B628" s="95"/>
      <c r="C628" s="102"/>
      <c r="D628" s="95"/>
      <c r="E628" s="95"/>
      <c r="F628" s="95"/>
      <c r="G628" s="95"/>
      <c r="H628" s="95"/>
      <c r="I628" s="105"/>
      <c r="J628" s="95"/>
      <c r="K628" s="95"/>
      <c r="L628" s="104"/>
      <c r="M628" s="106"/>
      <c r="N628" s="95"/>
      <c r="O628" s="95"/>
      <c r="P628" s="95"/>
      <c r="Q628" s="95"/>
      <c r="R628" s="95"/>
      <c r="S628" s="95"/>
      <c r="T628" s="95"/>
      <c r="U628" s="95"/>
      <c r="V628" s="95"/>
      <c r="W628" s="95"/>
      <c r="X628" s="95"/>
      <c r="Y628" s="95"/>
      <c r="Z628" s="95"/>
      <c r="AA628" s="95"/>
      <c r="AB628" s="95"/>
      <c r="AC628" s="95"/>
    </row>
    <row r="629" ht="15.75" customHeight="1" spans="1:29">
      <c r="A629" s="95"/>
      <c r="B629" s="95"/>
      <c r="C629" s="102"/>
      <c r="D629" s="95"/>
      <c r="E629" s="95"/>
      <c r="F629" s="95"/>
      <c r="G629" s="95"/>
      <c r="H629" s="95"/>
      <c r="I629" s="105"/>
      <c r="J629" s="95"/>
      <c r="K629" s="95"/>
      <c r="L629" s="106"/>
      <c r="M629" s="104"/>
      <c r="N629" s="95"/>
      <c r="O629" s="95"/>
      <c r="P629" s="95"/>
      <c r="Q629" s="95"/>
      <c r="R629" s="95"/>
      <c r="S629" s="95"/>
      <c r="T629" s="95"/>
      <c r="U629" s="95"/>
      <c r="V629" s="95"/>
      <c r="W629" s="95"/>
      <c r="X629" s="95"/>
      <c r="Y629" s="95"/>
      <c r="Z629" s="95"/>
      <c r="AA629" s="95"/>
      <c r="AB629" s="95"/>
      <c r="AC629" s="95"/>
    </row>
    <row r="630" ht="15.75" customHeight="1" spans="1:29">
      <c r="A630" s="95"/>
      <c r="B630" s="95"/>
      <c r="C630" s="102"/>
      <c r="D630" s="95"/>
      <c r="E630" s="95"/>
      <c r="F630" s="95"/>
      <c r="G630" s="95"/>
      <c r="H630" s="95"/>
      <c r="I630" s="105"/>
      <c r="J630" s="95"/>
      <c r="K630" s="95"/>
      <c r="L630" s="104"/>
      <c r="M630" s="104"/>
      <c r="N630" s="95"/>
      <c r="O630" s="95"/>
      <c r="P630" s="95"/>
      <c r="Q630" s="95"/>
      <c r="R630" s="95"/>
      <c r="S630" s="95"/>
      <c r="T630" s="95"/>
      <c r="U630" s="95"/>
      <c r="V630" s="95"/>
      <c r="W630" s="95"/>
      <c r="X630" s="95"/>
      <c r="Y630" s="95"/>
      <c r="Z630" s="95"/>
      <c r="AA630" s="95"/>
      <c r="AB630" s="95"/>
      <c r="AC630" s="95"/>
    </row>
    <row r="631" ht="15.75" customHeight="1" spans="1:29">
      <c r="A631" s="95"/>
      <c r="B631" s="95"/>
      <c r="C631" s="102"/>
      <c r="D631" s="95"/>
      <c r="E631" s="95"/>
      <c r="F631" s="95"/>
      <c r="G631" s="95"/>
      <c r="H631" s="95"/>
      <c r="I631" s="103"/>
      <c r="J631" s="95"/>
      <c r="K631" s="95"/>
      <c r="L631" s="104"/>
      <c r="M631" s="104"/>
      <c r="N631" s="95"/>
      <c r="O631" s="95"/>
      <c r="P631" s="95"/>
      <c r="Q631" s="95"/>
      <c r="R631" s="95"/>
      <c r="S631" s="95"/>
      <c r="T631" s="95"/>
      <c r="U631" s="95"/>
      <c r="V631" s="95"/>
      <c r="W631" s="95"/>
      <c r="X631" s="95"/>
      <c r="Y631" s="95"/>
      <c r="Z631" s="95"/>
      <c r="AA631" s="95"/>
      <c r="AB631" s="95"/>
      <c r="AC631" s="95"/>
    </row>
    <row r="632" ht="15.75" customHeight="1" spans="1:29">
      <c r="A632" s="95"/>
      <c r="B632" s="95"/>
      <c r="C632" s="102"/>
      <c r="D632" s="95"/>
      <c r="E632" s="95"/>
      <c r="F632" s="95"/>
      <c r="G632" s="95"/>
      <c r="H632" s="95"/>
      <c r="I632" s="103"/>
      <c r="J632" s="95"/>
      <c r="K632" s="95"/>
      <c r="L632" s="106"/>
      <c r="M632" s="104"/>
      <c r="N632" s="95"/>
      <c r="O632" s="95"/>
      <c r="P632" s="95"/>
      <c r="Q632" s="95"/>
      <c r="R632" s="95"/>
      <c r="S632" s="95"/>
      <c r="T632" s="95"/>
      <c r="U632" s="95"/>
      <c r="V632" s="95"/>
      <c r="W632" s="95"/>
      <c r="X632" s="95"/>
      <c r="Y632" s="95"/>
      <c r="Z632" s="95"/>
      <c r="AA632" s="95"/>
      <c r="AB632" s="95"/>
      <c r="AC632" s="95"/>
    </row>
    <row r="633" ht="15.75" customHeight="1" spans="1:29">
      <c r="A633" s="95"/>
      <c r="B633" s="95"/>
      <c r="C633" s="102"/>
      <c r="D633" s="95"/>
      <c r="E633" s="95"/>
      <c r="F633" s="95"/>
      <c r="G633" s="95"/>
      <c r="H633" s="95"/>
      <c r="I633" s="103"/>
      <c r="J633" s="95"/>
      <c r="K633" s="95"/>
      <c r="L633" s="106"/>
      <c r="M633" s="104"/>
      <c r="N633" s="95"/>
      <c r="O633" s="95"/>
      <c r="P633" s="95"/>
      <c r="Q633" s="95"/>
      <c r="R633" s="95"/>
      <c r="S633" s="95"/>
      <c r="T633" s="95"/>
      <c r="U633" s="95"/>
      <c r="V633" s="95"/>
      <c r="W633" s="95"/>
      <c r="X633" s="95"/>
      <c r="Y633" s="95"/>
      <c r="Z633" s="95"/>
      <c r="AA633" s="95"/>
      <c r="AB633" s="95"/>
      <c r="AC633" s="95"/>
    </row>
    <row r="634" ht="15.75" customHeight="1" spans="1:29">
      <c r="A634" s="95"/>
      <c r="B634" s="95"/>
      <c r="C634" s="102"/>
      <c r="D634" s="95"/>
      <c r="E634" s="95"/>
      <c r="F634" s="95"/>
      <c r="G634" s="95"/>
      <c r="H634" s="95"/>
      <c r="I634" s="105"/>
      <c r="J634" s="95"/>
      <c r="K634" s="95"/>
      <c r="L634" s="104"/>
      <c r="M634" s="104"/>
      <c r="N634" s="95"/>
      <c r="O634" s="95"/>
      <c r="P634" s="95"/>
      <c r="Q634" s="95"/>
      <c r="R634" s="95"/>
      <c r="S634" s="95"/>
      <c r="T634" s="95"/>
      <c r="U634" s="95"/>
      <c r="V634" s="95"/>
      <c r="W634" s="95"/>
      <c r="X634" s="95"/>
      <c r="Y634" s="95"/>
      <c r="Z634" s="95"/>
      <c r="AA634" s="95"/>
      <c r="AB634" s="95"/>
      <c r="AC634" s="95"/>
    </row>
    <row r="635" ht="15.75" customHeight="1" spans="1:29">
      <c r="A635" s="95"/>
      <c r="B635" s="95"/>
      <c r="C635" s="102"/>
      <c r="D635" s="95"/>
      <c r="E635" s="95"/>
      <c r="F635" s="95"/>
      <c r="G635" s="95"/>
      <c r="H635" s="95"/>
      <c r="I635" s="105"/>
      <c r="J635" s="95"/>
      <c r="K635" s="95"/>
      <c r="L635" s="104"/>
      <c r="M635" s="106"/>
      <c r="N635" s="95"/>
      <c r="O635" s="95"/>
      <c r="P635" s="95"/>
      <c r="Q635" s="95"/>
      <c r="R635" s="95"/>
      <c r="S635" s="95"/>
      <c r="T635" s="95"/>
      <c r="U635" s="95"/>
      <c r="V635" s="95"/>
      <c r="W635" s="95"/>
      <c r="X635" s="95"/>
      <c r="Y635" s="95"/>
      <c r="Z635" s="95"/>
      <c r="AA635" s="95"/>
      <c r="AB635" s="95"/>
      <c r="AC635" s="95"/>
    </row>
    <row r="636" ht="15.75" customHeight="1" spans="1:29">
      <c r="A636" s="95"/>
      <c r="B636" s="95"/>
      <c r="C636" s="102"/>
      <c r="D636" s="95"/>
      <c r="E636" s="95"/>
      <c r="F636" s="95"/>
      <c r="G636" s="95"/>
      <c r="H636" s="95"/>
      <c r="I636" s="105"/>
      <c r="J636" s="95"/>
      <c r="K636" s="95"/>
      <c r="L636" s="104"/>
      <c r="M636" s="104"/>
      <c r="N636" s="95"/>
      <c r="O636" s="95"/>
      <c r="P636" s="95"/>
      <c r="Q636" s="95"/>
      <c r="R636" s="95"/>
      <c r="S636" s="95"/>
      <c r="T636" s="95"/>
      <c r="U636" s="95"/>
      <c r="V636" s="95"/>
      <c r="W636" s="95"/>
      <c r="X636" s="95"/>
      <c r="Y636" s="95"/>
      <c r="Z636" s="95"/>
      <c r="AA636" s="95"/>
      <c r="AB636" s="95"/>
      <c r="AC636" s="95"/>
    </row>
    <row r="637" ht="15.75" customHeight="1" spans="1:29">
      <c r="A637" s="95"/>
      <c r="B637" s="95"/>
      <c r="C637" s="102"/>
      <c r="D637" s="95"/>
      <c r="E637" s="95"/>
      <c r="F637" s="95"/>
      <c r="G637" s="95"/>
      <c r="H637" s="95"/>
      <c r="I637" s="105"/>
      <c r="J637" s="95"/>
      <c r="K637" s="95"/>
      <c r="L637" s="104"/>
      <c r="M637" s="104"/>
      <c r="N637" s="95"/>
      <c r="O637" s="95"/>
      <c r="P637" s="95"/>
      <c r="Q637" s="95"/>
      <c r="R637" s="95"/>
      <c r="S637" s="95"/>
      <c r="T637" s="95"/>
      <c r="U637" s="95"/>
      <c r="V637" s="95"/>
      <c r="W637" s="95"/>
      <c r="X637" s="95"/>
      <c r="Y637" s="95"/>
      <c r="Z637" s="95"/>
      <c r="AA637" s="95"/>
      <c r="AB637" s="95"/>
      <c r="AC637" s="95"/>
    </row>
    <row r="638" ht="15.75" customHeight="1" spans="1:29">
      <c r="A638" s="95"/>
      <c r="B638" s="95"/>
      <c r="C638" s="102"/>
      <c r="D638" s="95"/>
      <c r="E638" s="95"/>
      <c r="F638" s="95"/>
      <c r="G638" s="95"/>
      <c r="H638" s="95"/>
      <c r="I638" s="105"/>
      <c r="J638" s="95"/>
      <c r="K638" s="95"/>
      <c r="L638" s="104"/>
      <c r="M638" s="104"/>
      <c r="N638" s="95"/>
      <c r="O638" s="95"/>
      <c r="P638" s="95"/>
      <c r="Q638" s="95"/>
      <c r="R638" s="95"/>
      <c r="S638" s="95"/>
      <c r="T638" s="95"/>
      <c r="U638" s="95"/>
      <c r="V638" s="95"/>
      <c r="W638" s="95"/>
      <c r="X638" s="95"/>
      <c r="Y638" s="95"/>
      <c r="Z638" s="95"/>
      <c r="AA638" s="95"/>
      <c r="AB638" s="95"/>
      <c r="AC638" s="95"/>
    </row>
    <row r="639" ht="15.75" customHeight="1" spans="1:29">
      <c r="A639" s="95"/>
      <c r="B639" s="95"/>
      <c r="C639" s="102"/>
      <c r="D639" s="95"/>
      <c r="E639" s="95"/>
      <c r="F639" s="95"/>
      <c r="G639" s="95"/>
      <c r="H639" s="95"/>
      <c r="I639" s="105"/>
      <c r="J639" s="95"/>
      <c r="K639" s="95"/>
      <c r="L639" s="104"/>
      <c r="M639" s="104"/>
      <c r="N639" s="95"/>
      <c r="O639" s="95"/>
      <c r="P639" s="95"/>
      <c r="Q639" s="95"/>
      <c r="R639" s="95"/>
      <c r="S639" s="95"/>
      <c r="T639" s="95"/>
      <c r="U639" s="95"/>
      <c r="V639" s="95"/>
      <c r="W639" s="95"/>
      <c r="X639" s="95"/>
      <c r="Y639" s="95"/>
      <c r="Z639" s="95"/>
      <c r="AA639" s="95"/>
      <c r="AB639" s="95"/>
      <c r="AC639" s="95"/>
    </row>
    <row r="640" ht="15.75" customHeight="1" spans="1:29">
      <c r="A640" s="95"/>
      <c r="B640" s="95"/>
      <c r="C640" s="102"/>
      <c r="D640" s="95"/>
      <c r="E640" s="95"/>
      <c r="F640" s="95"/>
      <c r="G640" s="95"/>
      <c r="H640" s="95"/>
      <c r="I640" s="105"/>
      <c r="J640" s="95"/>
      <c r="K640" s="95"/>
      <c r="L640" s="104"/>
      <c r="M640" s="104"/>
      <c r="N640" s="95"/>
      <c r="O640" s="95"/>
      <c r="P640" s="95"/>
      <c r="Q640" s="95"/>
      <c r="R640" s="95"/>
      <c r="S640" s="95"/>
      <c r="T640" s="95"/>
      <c r="U640" s="95"/>
      <c r="V640" s="95"/>
      <c r="W640" s="95"/>
      <c r="X640" s="95"/>
      <c r="Y640" s="95"/>
      <c r="Z640" s="95"/>
      <c r="AA640" s="95"/>
      <c r="AB640" s="95"/>
      <c r="AC640" s="95"/>
    </row>
    <row r="641" ht="15.75" customHeight="1" spans="1:29">
      <c r="A641" s="95"/>
      <c r="B641" s="95"/>
      <c r="C641" s="102"/>
      <c r="D641" s="95"/>
      <c r="E641" s="95"/>
      <c r="F641" s="95"/>
      <c r="G641" s="95"/>
      <c r="H641" s="95"/>
      <c r="I641" s="105"/>
      <c r="J641" s="95"/>
      <c r="K641" s="95"/>
      <c r="L641" s="104"/>
      <c r="M641" s="104"/>
      <c r="N641" s="95"/>
      <c r="O641" s="95"/>
      <c r="P641" s="95"/>
      <c r="Q641" s="95"/>
      <c r="R641" s="95"/>
      <c r="S641" s="95"/>
      <c r="T641" s="95"/>
      <c r="U641" s="95"/>
      <c r="V641" s="95"/>
      <c r="W641" s="95"/>
      <c r="X641" s="95"/>
      <c r="Y641" s="95"/>
      <c r="Z641" s="95"/>
      <c r="AA641" s="95"/>
      <c r="AB641" s="95"/>
      <c r="AC641" s="95"/>
    </row>
    <row r="642" ht="15.75" customHeight="1" spans="1:29">
      <c r="A642" s="95"/>
      <c r="B642" s="95"/>
      <c r="C642" s="102"/>
      <c r="D642" s="95"/>
      <c r="E642" s="95"/>
      <c r="F642" s="95"/>
      <c r="G642" s="95"/>
      <c r="H642" s="95"/>
      <c r="I642" s="105"/>
      <c r="J642" s="95"/>
      <c r="K642" s="95"/>
      <c r="L642" s="104"/>
      <c r="M642" s="104"/>
      <c r="N642" s="95"/>
      <c r="O642" s="95"/>
      <c r="P642" s="95"/>
      <c r="Q642" s="95"/>
      <c r="R642" s="95"/>
      <c r="S642" s="95"/>
      <c r="T642" s="95"/>
      <c r="U642" s="95"/>
      <c r="V642" s="95"/>
      <c r="W642" s="95"/>
      <c r="X642" s="95"/>
      <c r="Y642" s="95"/>
      <c r="Z642" s="95"/>
      <c r="AA642" s="95"/>
      <c r="AB642" s="95"/>
      <c r="AC642" s="95"/>
    </row>
    <row r="643" ht="15.75" customHeight="1" spans="1:29">
      <c r="A643" s="95"/>
      <c r="B643" s="95"/>
      <c r="C643" s="102"/>
      <c r="D643" s="95"/>
      <c r="E643" s="95"/>
      <c r="F643" s="95"/>
      <c r="G643" s="95"/>
      <c r="H643" s="95"/>
      <c r="I643" s="105"/>
      <c r="J643" s="95"/>
      <c r="K643" s="95"/>
      <c r="L643" s="104"/>
      <c r="M643" s="104"/>
      <c r="N643" s="95"/>
      <c r="O643" s="95"/>
      <c r="P643" s="95"/>
      <c r="Q643" s="95"/>
      <c r="R643" s="95"/>
      <c r="S643" s="95"/>
      <c r="T643" s="95"/>
      <c r="U643" s="95"/>
      <c r="V643" s="95"/>
      <c r="W643" s="95"/>
      <c r="X643" s="95"/>
      <c r="Y643" s="95"/>
      <c r="Z643" s="95"/>
      <c r="AA643" s="95"/>
      <c r="AB643" s="95"/>
      <c r="AC643" s="95"/>
    </row>
    <row r="644" ht="15.75" customHeight="1" spans="1:29">
      <c r="A644" s="95"/>
      <c r="B644" s="95"/>
      <c r="C644" s="102"/>
      <c r="D644" s="95"/>
      <c r="E644" s="95"/>
      <c r="F644" s="95"/>
      <c r="G644" s="95"/>
      <c r="H644" s="95"/>
      <c r="I644" s="105"/>
      <c r="J644" s="95"/>
      <c r="K644" s="95"/>
      <c r="L644" s="104"/>
      <c r="M644" s="106"/>
      <c r="N644" s="95"/>
      <c r="O644" s="95"/>
      <c r="P644" s="95"/>
      <c r="Q644" s="95"/>
      <c r="R644" s="95"/>
      <c r="S644" s="95"/>
      <c r="T644" s="95"/>
      <c r="U644" s="95"/>
      <c r="V644" s="95"/>
      <c r="W644" s="95"/>
      <c r="X644" s="95"/>
      <c r="Y644" s="95"/>
      <c r="Z644" s="95"/>
      <c r="AA644" s="95"/>
      <c r="AB644" s="95"/>
      <c r="AC644" s="95"/>
    </row>
    <row r="645" ht="15.75" customHeight="1" spans="1:29">
      <c r="A645" s="95"/>
      <c r="B645" s="95"/>
      <c r="C645" s="102"/>
      <c r="D645" s="95"/>
      <c r="E645" s="95"/>
      <c r="F645" s="95"/>
      <c r="G645" s="95"/>
      <c r="H645" s="95"/>
      <c r="I645" s="105"/>
      <c r="J645" s="95"/>
      <c r="K645" s="95"/>
      <c r="L645" s="104"/>
      <c r="M645" s="104"/>
      <c r="N645" s="95"/>
      <c r="O645" s="95"/>
      <c r="P645" s="95"/>
      <c r="Q645" s="95"/>
      <c r="R645" s="95"/>
      <c r="S645" s="95"/>
      <c r="T645" s="95"/>
      <c r="U645" s="95"/>
      <c r="V645" s="95"/>
      <c r="W645" s="95"/>
      <c r="X645" s="95"/>
      <c r="Y645" s="95"/>
      <c r="Z645" s="95"/>
      <c r="AA645" s="95"/>
      <c r="AB645" s="95"/>
      <c r="AC645" s="95"/>
    </row>
    <row r="646" ht="15.75" customHeight="1" spans="1:29">
      <c r="A646" s="95"/>
      <c r="B646" s="95"/>
      <c r="C646" s="102"/>
      <c r="D646" s="95"/>
      <c r="E646" s="95"/>
      <c r="F646" s="95"/>
      <c r="G646" s="95"/>
      <c r="H646" s="95"/>
      <c r="I646" s="105"/>
      <c r="J646" s="95"/>
      <c r="K646" s="95"/>
      <c r="L646" s="104"/>
      <c r="M646" s="104"/>
      <c r="N646" s="95"/>
      <c r="O646" s="95"/>
      <c r="P646" s="95"/>
      <c r="Q646" s="95"/>
      <c r="R646" s="95"/>
      <c r="S646" s="95"/>
      <c r="T646" s="95"/>
      <c r="U646" s="95"/>
      <c r="V646" s="95"/>
      <c r="W646" s="95"/>
      <c r="X646" s="95"/>
      <c r="Y646" s="95"/>
      <c r="Z646" s="95"/>
      <c r="AA646" s="95"/>
      <c r="AB646" s="95"/>
      <c r="AC646" s="95"/>
    </row>
    <row r="647" ht="15.75" customHeight="1" spans="1:29">
      <c r="A647" s="95"/>
      <c r="B647" s="95"/>
      <c r="C647" s="102"/>
      <c r="D647" s="95"/>
      <c r="E647" s="95"/>
      <c r="F647" s="95"/>
      <c r="G647" s="95"/>
      <c r="H647" s="95"/>
      <c r="I647" s="103"/>
      <c r="J647" s="95"/>
      <c r="K647" s="95"/>
      <c r="L647" s="104"/>
      <c r="M647" s="106"/>
      <c r="N647" s="95"/>
      <c r="O647" s="95"/>
      <c r="P647" s="95"/>
      <c r="Q647" s="95"/>
      <c r="R647" s="95"/>
      <c r="S647" s="95"/>
      <c r="T647" s="95"/>
      <c r="U647" s="95"/>
      <c r="V647" s="95"/>
      <c r="W647" s="95"/>
      <c r="X647" s="95"/>
      <c r="Y647" s="95"/>
      <c r="Z647" s="95"/>
      <c r="AA647" s="95"/>
      <c r="AB647" s="95"/>
      <c r="AC647" s="95"/>
    </row>
    <row r="648" ht="15.75" customHeight="1" spans="1:29">
      <c r="A648" s="95"/>
      <c r="B648" s="95"/>
      <c r="C648" s="102"/>
      <c r="D648" s="95"/>
      <c r="E648" s="95"/>
      <c r="F648" s="95"/>
      <c r="G648" s="95"/>
      <c r="H648" s="95"/>
      <c r="I648" s="103"/>
      <c r="J648" s="95"/>
      <c r="K648" s="95"/>
      <c r="L648" s="104"/>
      <c r="M648" s="104"/>
      <c r="N648" s="95"/>
      <c r="O648" s="95"/>
      <c r="P648" s="95"/>
      <c r="Q648" s="95"/>
      <c r="R648" s="95"/>
      <c r="S648" s="95"/>
      <c r="T648" s="95"/>
      <c r="U648" s="95"/>
      <c r="V648" s="95"/>
      <c r="W648" s="95"/>
      <c r="X648" s="95"/>
      <c r="Y648" s="95"/>
      <c r="Z648" s="95"/>
      <c r="AA648" s="95"/>
      <c r="AB648" s="95"/>
      <c r="AC648" s="95"/>
    </row>
    <row r="649" ht="15.75" customHeight="1" spans="1:29">
      <c r="A649" s="95"/>
      <c r="B649" s="95"/>
      <c r="C649" s="102"/>
      <c r="D649" s="95"/>
      <c r="E649" s="95"/>
      <c r="F649" s="95"/>
      <c r="G649" s="95"/>
      <c r="H649" s="95"/>
      <c r="I649" s="103"/>
      <c r="J649" s="95"/>
      <c r="K649" s="95"/>
      <c r="L649" s="104"/>
      <c r="M649" s="104"/>
      <c r="N649" s="95"/>
      <c r="O649" s="95"/>
      <c r="P649" s="95"/>
      <c r="Q649" s="95"/>
      <c r="R649" s="95"/>
      <c r="S649" s="95"/>
      <c r="T649" s="95"/>
      <c r="U649" s="95"/>
      <c r="V649" s="95"/>
      <c r="W649" s="95"/>
      <c r="X649" s="95"/>
      <c r="Y649" s="95"/>
      <c r="Z649" s="95"/>
      <c r="AA649" s="95"/>
      <c r="AB649" s="95"/>
      <c r="AC649" s="95"/>
    </row>
    <row r="650" ht="15.75" customHeight="1" spans="1:29">
      <c r="A650" s="95"/>
      <c r="B650" s="95"/>
      <c r="C650" s="102"/>
      <c r="D650" s="95"/>
      <c r="E650" s="95"/>
      <c r="F650" s="95"/>
      <c r="G650" s="95"/>
      <c r="H650" s="95"/>
      <c r="I650" s="103"/>
      <c r="J650" s="95"/>
      <c r="K650" s="95"/>
      <c r="L650" s="104"/>
      <c r="M650" s="104"/>
      <c r="N650" s="95"/>
      <c r="O650" s="95"/>
      <c r="P650" s="95"/>
      <c r="Q650" s="95"/>
      <c r="R650" s="95"/>
      <c r="S650" s="95"/>
      <c r="T650" s="95"/>
      <c r="U650" s="95"/>
      <c r="V650" s="95"/>
      <c r="W650" s="95"/>
      <c r="X650" s="95"/>
      <c r="Y650" s="95"/>
      <c r="Z650" s="95"/>
      <c r="AA650" s="95"/>
      <c r="AB650" s="95"/>
      <c r="AC650" s="95"/>
    </row>
    <row r="651" ht="15.75" customHeight="1" spans="1:29">
      <c r="A651" s="95"/>
      <c r="B651" s="95"/>
      <c r="C651" s="102"/>
      <c r="D651" s="95"/>
      <c r="E651" s="95"/>
      <c r="F651" s="95"/>
      <c r="G651" s="95"/>
      <c r="H651" s="95"/>
      <c r="I651" s="103"/>
      <c r="J651" s="95"/>
      <c r="K651" s="95"/>
      <c r="L651" s="106"/>
      <c r="M651" s="106"/>
      <c r="N651" s="95"/>
      <c r="O651" s="95"/>
      <c r="P651" s="95"/>
      <c r="Q651" s="95"/>
      <c r="R651" s="95"/>
      <c r="S651" s="95"/>
      <c r="T651" s="95"/>
      <c r="U651" s="95"/>
      <c r="V651" s="95"/>
      <c r="W651" s="95"/>
      <c r="X651" s="95"/>
      <c r="Y651" s="95"/>
      <c r="Z651" s="95"/>
      <c r="AA651" s="95"/>
      <c r="AB651" s="95"/>
      <c r="AC651" s="95"/>
    </row>
    <row r="652" ht="15.75" customHeight="1" spans="1:29">
      <c r="A652" s="95"/>
      <c r="B652" s="95"/>
      <c r="C652" s="102"/>
      <c r="D652" s="95"/>
      <c r="E652" s="95"/>
      <c r="F652" s="95"/>
      <c r="G652" s="95"/>
      <c r="H652" s="95"/>
      <c r="I652" s="103"/>
      <c r="J652" s="95"/>
      <c r="K652" s="95"/>
      <c r="L652" s="104"/>
      <c r="M652" s="104"/>
      <c r="N652" s="95"/>
      <c r="O652" s="95"/>
      <c r="P652" s="95"/>
      <c r="Q652" s="95"/>
      <c r="R652" s="95"/>
      <c r="S652" s="95"/>
      <c r="T652" s="95"/>
      <c r="U652" s="95"/>
      <c r="V652" s="95"/>
      <c r="W652" s="95"/>
      <c r="X652" s="95"/>
      <c r="Y652" s="95"/>
      <c r="Z652" s="95"/>
      <c r="AA652" s="95"/>
      <c r="AB652" s="95"/>
      <c r="AC652" s="95"/>
    </row>
    <row r="653" ht="15.75" customHeight="1" spans="1:29">
      <c r="A653" s="95"/>
      <c r="B653" s="95"/>
      <c r="C653" s="102"/>
      <c r="D653" s="95"/>
      <c r="E653" s="95"/>
      <c r="F653" s="95"/>
      <c r="G653" s="95"/>
      <c r="H653" s="95"/>
      <c r="I653" s="103"/>
      <c r="J653" s="95"/>
      <c r="K653" s="95"/>
      <c r="L653" s="104"/>
      <c r="M653" s="104"/>
      <c r="N653" s="95"/>
      <c r="O653" s="95"/>
      <c r="P653" s="95"/>
      <c r="Q653" s="95"/>
      <c r="R653" s="95"/>
      <c r="S653" s="95"/>
      <c r="T653" s="95"/>
      <c r="U653" s="95"/>
      <c r="V653" s="95"/>
      <c r="W653" s="95"/>
      <c r="X653" s="95"/>
      <c r="Y653" s="95"/>
      <c r="Z653" s="95"/>
      <c r="AA653" s="95"/>
      <c r="AB653" s="95"/>
      <c r="AC653" s="95"/>
    </row>
    <row r="654" ht="15.75" customHeight="1" spans="1:29">
      <c r="A654" s="95"/>
      <c r="B654" s="95"/>
      <c r="C654" s="102"/>
      <c r="D654" s="95"/>
      <c r="E654" s="95"/>
      <c r="F654" s="95"/>
      <c r="G654" s="95"/>
      <c r="H654" s="95"/>
      <c r="I654" s="105"/>
      <c r="J654" s="95"/>
      <c r="K654" s="95"/>
      <c r="L654" s="104"/>
      <c r="M654" s="104"/>
      <c r="N654" s="95"/>
      <c r="O654" s="95"/>
      <c r="P654" s="95"/>
      <c r="Q654" s="95"/>
      <c r="R654" s="95"/>
      <c r="S654" s="95"/>
      <c r="T654" s="95"/>
      <c r="U654" s="95"/>
      <c r="V654" s="95"/>
      <c r="W654" s="95"/>
      <c r="X654" s="95"/>
      <c r="Y654" s="95"/>
      <c r="Z654" s="95"/>
      <c r="AA654" s="95"/>
      <c r="AB654" s="95"/>
      <c r="AC654" s="95"/>
    </row>
    <row r="655" ht="15.75" customHeight="1" spans="1:29">
      <c r="A655" s="95"/>
      <c r="B655" s="95"/>
      <c r="C655" s="102"/>
      <c r="D655" s="95"/>
      <c r="E655" s="95"/>
      <c r="F655" s="95"/>
      <c r="G655" s="95"/>
      <c r="H655" s="95"/>
      <c r="I655" s="105"/>
      <c r="J655" s="95"/>
      <c r="K655" s="95"/>
      <c r="L655" s="106"/>
      <c r="M655" s="104"/>
      <c r="N655" s="95"/>
      <c r="O655" s="95"/>
      <c r="P655" s="95"/>
      <c r="Q655" s="95"/>
      <c r="R655" s="95"/>
      <c r="S655" s="95"/>
      <c r="T655" s="95"/>
      <c r="U655" s="95"/>
      <c r="V655" s="95"/>
      <c r="W655" s="95"/>
      <c r="X655" s="95"/>
      <c r="Y655" s="95"/>
      <c r="Z655" s="95"/>
      <c r="AA655" s="95"/>
      <c r="AB655" s="95"/>
      <c r="AC655" s="95"/>
    </row>
    <row r="656" ht="15.75" customHeight="1" spans="1:29">
      <c r="A656" s="95"/>
      <c r="B656" s="95"/>
      <c r="C656" s="102"/>
      <c r="D656" s="95"/>
      <c r="E656" s="95"/>
      <c r="F656" s="95"/>
      <c r="G656" s="95"/>
      <c r="H656" s="95"/>
      <c r="I656" s="105"/>
      <c r="J656" s="95"/>
      <c r="K656" s="95"/>
      <c r="L656" s="104"/>
      <c r="M656" s="104"/>
      <c r="N656" s="95"/>
      <c r="O656" s="95"/>
      <c r="P656" s="95"/>
      <c r="Q656" s="95"/>
      <c r="R656" s="95"/>
      <c r="S656" s="95"/>
      <c r="T656" s="95"/>
      <c r="U656" s="95"/>
      <c r="V656" s="95"/>
      <c r="W656" s="95"/>
      <c r="X656" s="95"/>
      <c r="Y656" s="95"/>
      <c r="Z656" s="95"/>
      <c r="AA656" s="95"/>
      <c r="AB656" s="95"/>
      <c r="AC656" s="95"/>
    </row>
    <row r="657" ht="15.75" customHeight="1" spans="1:29">
      <c r="A657" s="95"/>
      <c r="B657" s="95"/>
      <c r="C657" s="102"/>
      <c r="D657" s="95"/>
      <c r="E657" s="95"/>
      <c r="F657" s="95"/>
      <c r="G657" s="95"/>
      <c r="H657" s="95"/>
      <c r="I657" s="105"/>
      <c r="J657" s="95"/>
      <c r="K657" s="95"/>
      <c r="L657" s="104"/>
      <c r="M657" s="104"/>
      <c r="N657" s="95"/>
      <c r="O657" s="95"/>
      <c r="P657" s="95"/>
      <c r="Q657" s="95"/>
      <c r="R657" s="95"/>
      <c r="S657" s="95"/>
      <c r="T657" s="95"/>
      <c r="U657" s="95"/>
      <c r="V657" s="95"/>
      <c r="W657" s="95"/>
      <c r="X657" s="95"/>
      <c r="Y657" s="95"/>
      <c r="Z657" s="95"/>
      <c r="AA657" s="95"/>
      <c r="AB657" s="95"/>
      <c r="AC657" s="95"/>
    </row>
    <row r="658" ht="15.75" customHeight="1" spans="1:29">
      <c r="A658" s="95"/>
      <c r="B658" s="95"/>
      <c r="C658" s="102"/>
      <c r="D658" s="95"/>
      <c r="E658" s="95"/>
      <c r="F658" s="95"/>
      <c r="G658" s="95"/>
      <c r="H658" s="95"/>
      <c r="I658" s="105"/>
      <c r="J658" s="95"/>
      <c r="K658" s="95"/>
      <c r="L658" s="104"/>
      <c r="M658" s="104"/>
      <c r="N658" s="95"/>
      <c r="O658" s="95"/>
      <c r="P658" s="95"/>
      <c r="Q658" s="95"/>
      <c r="R658" s="95"/>
      <c r="S658" s="95"/>
      <c r="T658" s="95"/>
      <c r="U658" s="95"/>
      <c r="V658" s="95"/>
      <c r="W658" s="95"/>
      <c r="X658" s="95"/>
      <c r="Y658" s="95"/>
      <c r="Z658" s="95"/>
      <c r="AA658" s="95"/>
      <c r="AB658" s="95"/>
      <c r="AC658" s="95"/>
    </row>
    <row r="659" ht="15.75" customHeight="1" spans="1:29">
      <c r="A659" s="95"/>
      <c r="B659" s="95"/>
      <c r="C659" s="102"/>
      <c r="D659" s="95"/>
      <c r="E659" s="95"/>
      <c r="F659" s="95"/>
      <c r="G659" s="95"/>
      <c r="H659" s="95"/>
      <c r="I659" s="103"/>
      <c r="J659" s="95"/>
      <c r="K659" s="95"/>
      <c r="L659" s="104"/>
      <c r="M659" s="106"/>
      <c r="N659" s="95"/>
      <c r="O659" s="95"/>
      <c r="P659" s="95"/>
      <c r="Q659" s="95"/>
      <c r="R659" s="95"/>
      <c r="S659" s="95"/>
      <c r="T659" s="95"/>
      <c r="U659" s="95"/>
      <c r="V659" s="95"/>
      <c r="W659" s="95"/>
      <c r="X659" s="95"/>
      <c r="Y659" s="95"/>
      <c r="Z659" s="95"/>
      <c r="AA659" s="95"/>
      <c r="AB659" s="95"/>
      <c r="AC659" s="95"/>
    </row>
    <row r="660" ht="15.75" customHeight="1" spans="1:29">
      <c r="A660" s="95"/>
      <c r="B660" s="95"/>
      <c r="C660" s="102"/>
      <c r="D660" s="95"/>
      <c r="E660" s="95"/>
      <c r="F660" s="95"/>
      <c r="G660" s="95"/>
      <c r="H660" s="95"/>
      <c r="I660" s="103"/>
      <c r="J660" s="95"/>
      <c r="K660" s="95"/>
      <c r="L660" s="106"/>
      <c r="M660" s="104"/>
      <c r="N660" s="95"/>
      <c r="O660" s="95"/>
      <c r="P660" s="95"/>
      <c r="Q660" s="95"/>
      <c r="R660" s="95"/>
      <c r="S660" s="95"/>
      <c r="T660" s="95"/>
      <c r="U660" s="95"/>
      <c r="V660" s="95"/>
      <c r="W660" s="95"/>
      <c r="X660" s="95"/>
      <c r="Y660" s="95"/>
      <c r="Z660" s="95"/>
      <c r="AA660" s="95"/>
      <c r="AB660" s="95"/>
      <c r="AC660" s="95"/>
    </row>
    <row r="661" ht="15.75" customHeight="1" spans="1:29">
      <c r="A661" s="95"/>
      <c r="B661" s="95"/>
      <c r="C661" s="102"/>
      <c r="D661" s="95"/>
      <c r="E661" s="95"/>
      <c r="F661" s="95"/>
      <c r="G661" s="95"/>
      <c r="H661" s="95"/>
      <c r="I661" s="103"/>
      <c r="J661" s="95"/>
      <c r="K661" s="95"/>
      <c r="L661" s="106"/>
      <c r="M661" s="104"/>
      <c r="N661" s="95"/>
      <c r="O661" s="95"/>
      <c r="P661" s="95"/>
      <c r="Q661" s="95"/>
      <c r="R661" s="95"/>
      <c r="S661" s="95"/>
      <c r="T661" s="95"/>
      <c r="U661" s="95"/>
      <c r="V661" s="95"/>
      <c r="W661" s="95"/>
      <c r="X661" s="95"/>
      <c r="Y661" s="95"/>
      <c r="Z661" s="95"/>
      <c r="AA661" s="95"/>
      <c r="AB661" s="95"/>
      <c r="AC661" s="95"/>
    </row>
    <row r="662" ht="15.75" customHeight="1" spans="1:29">
      <c r="A662" s="95"/>
      <c r="B662" s="95"/>
      <c r="C662" s="102"/>
      <c r="D662" s="95"/>
      <c r="E662" s="95"/>
      <c r="F662" s="95"/>
      <c r="G662" s="95"/>
      <c r="H662" s="95"/>
      <c r="I662" s="103"/>
      <c r="J662" s="95"/>
      <c r="K662" s="95"/>
      <c r="L662" s="104"/>
      <c r="M662" s="106"/>
      <c r="N662" s="95"/>
      <c r="O662" s="95"/>
      <c r="P662" s="95"/>
      <c r="Q662" s="95"/>
      <c r="R662" s="95"/>
      <c r="S662" s="95"/>
      <c r="T662" s="95"/>
      <c r="U662" s="95"/>
      <c r="V662" s="95"/>
      <c r="W662" s="95"/>
      <c r="X662" s="95"/>
      <c r="Y662" s="95"/>
      <c r="Z662" s="95"/>
      <c r="AA662" s="95"/>
      <c r="AB662" s="95"/>
      <c r="AC662" s="95"/>
    </row>
    <row r="663" ht="15.75" customHeight="1" spans="1:29">
      <c r="A663" s="95"/>
      <c r="B663" s="95"/>
      <c r="C663" s="102"/>
      <c r="D663" s="95"/>
      <c r="E663" s="95"/>
      <c r="F663" s="95"/>
      <c r="G663" s="95"/>
      <c r="H663" s="95"/>
      <c r="I663" s="103"/>
      <c r="J663" s="95"/>
      <c r="K663" s="95"/>
      <c r="L663" s="104"/>
      <c r="M663" s="104"/>
      <c r="N663" s="95"/>
      <c r="O663" s="95"/>
      <c r="P663" s="95"/>
      <c r="Q663" s="95"/>
      <c r="R663" s="95"/>
      <c r="S663" s="95"/>
      <c r="T663" s="95"/>
      <c r="U663" s="95"/>
      <c r="V663" s="95"/>
      <c r="W663" s="95"/>
      <c r="X663" s="95"/>
      <c r="Y663" s="95"/>
      <c r="Z663" s="95"/>
      <c r="AA663" s="95"/>
      <c r="AB663" s="95"/>
      <c r="AC663" s="95"/>
    </row>
    <row r="664" ht="15.75" customHeight="1" spans="1:29">
      <c r="A664" s="95"/>
      <c r="B664" s="95"/>
      <c r="C664" s="102"/>
      <c r="D664" s="95"/>
      <c r="E664" s="95"/>
      <c r="F664" s="95"/>
      <c r="G664" s="95"/>
      <c r="H664" s="95"/>
      <c r="I664" s="103"/>
      <c r="J664" s="95"/>
      <c r="K664" s="95"/>
      <c r="L664" s="104"/>
      <c r="M664" s="104"/>
      <c r="N664" s="95"/>
      <c r="O664" s="95"/>
      <c r="P664" s="95"/>
      <c r="Q664" s="95"/>
      <c r="R664" s="95"/>
      <c r="S664" s="95"/>
      <c r="T664" s="95"/>
      <c r="U664" s="95"/>
      <c r="V664" s="95"/>
      <c r="W664" s="95"/>
      <c r="X664" s="95"/>
      <c r="Y664" s="95"/>
      <c r="Z664" s="95"/>
      <c r="AA664" s="95"/>
      <c r="AB664" s="95"/>
      <c r="AC664" s="95"/>
    </row>
    <row r="665" ht="15.75" customHeight="1" spans="1:29">
      <c r="A665" s="95"/>
      <c r="B665" s="95"/>
      <c r="C665" s="102"/>
      <c r="D665" s="95"/>
      <c r="E665" s="95"/>
      <c r="F665" s="95"/>
      <c r="G665" s="95"/>
      <c r="H665" s="95"/>
      <c r="I665" s="105"/>
      <c r="J665" s="95"/>
      <c r="K665" s="95"/>
      <c r="L665" s="106"/>
      <c r="M665" s="104"/>
      <c r="N665" s="95"/>
      <c r="O665" s="95"/>
      <c r="P665" s="95"/>
      <c r="Q665" s="95"/>
      <c r="R665" s="95"/>
      <c r="S665" s="95"/>
      <c r="T665" s="95"/>
      <c r="U665" s="95"/>
      <c r="V665" s="95"/>
      <c r="W665" s="95"/>
      <c r="X665" s="95"/>
      <c r="Y665" s="95"/>
      <c r="Z665" s="95"/>
      <c r="AA665" s="95"/>
      <c r="AB665" s="95"/>
      <c r="AC665" s="95"/>
    </row>
    <row r="666" ht="15.75" customHeight="1" spans="1:29">
      <c r="A666" s="95"/>
      <c r="B666" s="95"/>
      <c r="C666" s="102"/>
      <c r="D666" s="95"/>
      <c r="E666" s="95"/>
      <c r="F666" s="95"/>
      <c r="G666" s="95"/>
      <c r="H666" s="95"/>
      <c r="I666" s="105"/>
      <c r="J666" s="95"/>
      <c r="K666" s="95"/>
      <c r="L666" s="104"/>
      <c r="M666" s="106"/>
      <c r="N666" s="95"/>
      <c r="O666" s="95"/>
      <c r="P666" s="95"/>
      <c r="Q666" s="95"/>
      <c r="R666" s="95"/>
      <c r="S666" s="95"/>
      <c r="T666" s="95"/>
      <c r="U666" s="95"/>
      <c r="V666" s="95"/>
      <c r="W666" s="95"/>
      <c r="X666" s="95"/>
      <c r="Y666" s="95"/>
      <c r="Z666" s="95"/>
      <c r="AA666" s="95"/>
      <c r="AB666" s="95"/>
      <c r="AC666" s="95"/>
    </row>
    <row r="667" ht="15.75" customHeight="1" spans="1:29">
      <c r="A667" s="95"/>
      <c r="B667" s="95"/>
      <c r="C667" s="102"/>
      <c r="D667" s="95"/>
      <c r="E667" s="95"/>
      <c r="F667" s="95"/>
      <c r="G667" s="95"/>
      <c r="H667" s="95"/>
      <c r="I667" s="105"/>
      <c r="J667" s="95"/>
      <c r="K667" s="95"/>
      <c r="L667" s="106"/>
      <c r="M667" s="104"/>
      <c r="N667" s="95"/>
      <c r="O667" s="95"/>
      <c r="P667" s="95"/>
      <c r="Q667" s="95"/>
      <c r="R667" s="95"/>
      <c r="S667" s="95"/>
      <c r="T667" s="95"/>
      <c r="U667" s="95"/>
      <c r="V667" s="95"/>
      <c r="W667" s="95"/>
      <c r="X667" s="95"/>
      <c r="Y667" s="95"/>
      <c r="Z667" s="95"/>
      <c r="AA667" s="95"/>
      <c r="AB667" s="95"/>
      <c r="AC667" s="95"/>
    </row>
    <row r="668" ht="15.75" customHeight="1" spans="1:29">
      <c r="A668" s="95"/>
      <c r="B668" s="95"/>
      <c r="C668" s="102"/>
      <c r="D668" s="95"/>
      <c r="E668" s="95"/>
      <c r="F668" s="95"/>
      <c r="G668" s="95"/>
      <c r="H668" s="95"/>
      <c r="I668" s="105"/>
      <c r="J668" s="95"/>
      <c r="K668" s="95"/>
      <c r="L668" s="104"/>
      <c r="M668" s="104"/>
      <c r="N668" s="95"/>
      <c r="O668" s="95"/>
      <c r="P668" s="95"/>
      <c r="Q668" s="95"/>
      <c r="R668" s="95"/>
      <c r="S668" s="95"/>
      <c r="T668" s="95"/>
      <c r="U668" s="95"/>
      <c r="V668" s="95"/>
      <c r="W668" s="95"/>
      <c r="X668" s="95"/>
      <c r="Y668" s="95"/>
      <c r="Z668" s="95"/>
      <c r="AA668" s="95"/>
      <c r="AB668" s="95"/>
      <c r="AC668" s="95"/>
    </row>
    <row r="669" ht="15.75" customHeight="1" spans="1:29">
      <c r="A669" s="95"/>
      <c r="B669" s="95"/>
      <c r="C669" s="102"/>
      <c r="D669" s="95"/>
      <c r="E669" s="95"/>
      <c r="F669" s="95"/>
      <c r="G669" s="95"/>
      <c r="H669" s="95"/>
      <c r="I669" s="105"/>
      <c r="J669" s="95"/>
      <c r="K669" s="95"/>
      <c r="L669" s="104"/>
      <c r="M669" s="104"/>
      <c r="N669" s="95"/>
      <c r="O669" s="95"/>
      <c r="P669" s="95"/>
      <c r="Q669" s="95"/>
      <c r="R669" s="95"/>
      <c r="S669" s="95"/>
      <c r="T669" s="95"/>
      <c r="U669" s="95"/>
      <c r="V669" s="95"/>
      <c r="W669" s="95"/>
      <c r="X669" s="95"/>
      <c r="Y669" s="95"/>
      <c r="Z669" s="95"/>
      <c r="AA669" s="95"/>
      <c r="AB669" s="95"/>
      <c r="AC669" s="95"/>
    </row>
    <row r="670" ht="15.75" customHeight="1" spans="1:29">
      <c r="A670" s="95"/>
      <c r="B670" s="95"/>
      <c r="C670" s="102"/>
      <c r="D670" s="95"/>
      <c r="E670" s="95"/>
      <c r="F670" s="95"/>
      <c r="G670" s="95"/>
      <c r="H670" s="95"/>
      <c r="I670" s="105"/>
      <c r="J670" s="95"/>
      <c r="K670" s="95"/>
      <c r="L670" s="104"/>
      <c r="M670" s="104"/>
      <c r="N670" s="95"/>
      <c r="O670" s="95"/>
      <c r="P670" s="95"/>
      <c r="Q670" s="95"/>
      <c r="R670" s="95"/>
      <c r="S670" s="95"/>
      <c r="T670" s="95"/>
      <c r="U670" s="95"/>
      <c r="V670" s="95"/>
      <c r="W670" s="95"/>
      <c r="X670" s="95"/>
      <c r="Y670" s="95"/>
      <c r="Z670" s="95"/>
      <c r="AA670" s="95"/>
      <c r="AB670" s="95"/>
      <c r="AC670" s="95"/>
    </row>
    <row r="671" ht="15.75" customHeight="1" spans="1:29">
      <c r="A671" s="95"/>
      <c r="B671" s="95"/>
      <c r="C671" s="102"/>
      <c r="D671" s="95"/>
      <c r="E671" s="95"/>
      <c r="F671" s="95"/>
      <c r="G671" s="95"/>
      <c r="H671" s="95"/>
      <c r="I671" s="105"/>
      <c r="J671" s="95"/>
      <c r="K671" s="95"/>
      <c r="L671" s="104"/>
      <c r="M671" s="104"/>
      <c r="N671" s="95"/>
      <c r="O671" s="95"/>
      <c r="P671" s="95"/>
      <c r="Q671" s="95"/>
      <c r="R671" s="95"/>
      <c r="S671" s="95"/>
      <c r="T671" s="95"/>
      <c r="U671" s="95"/>
      <c r="V671" s="95"/>
      <c r="W671" s="95"/>
      <c r="X671" s="95"/>
      <c r="Y671" s="95"/>
      <c r="Z671" s="95"/>
      <c r="AA671" s="95"/>
      <c r="AB671" s="95"/>
      <c r="AC671" s="95"/>
    </row>
    <row r="672" ht="15.75" customHeight="1" spans="1:29">
      <c r="A672" s="95"/>
      <c r="B672" s="95"/>
      <c r="C672" s="102"/>
      <c r="D672" s="95"/>
      <c r="E672" s="95"/>
      <c r="F672" s="95"/>
      <c r="G672" s="95"/>
      <c r="H672" s="95"/>
      <c r="I672" s="105"/>
      <c r="J672" s="95"/>
      <c r="K672" s="95"/>
      <c r="L672" s="104"/>
      <c r="M672" s="104"/>
      <c r="N672" s="95"/>
      <c r="O672" s="95"/>
      <c r="P672" s="95"/>
      <c r="Q672" s="95"/>
      <c r="R672" s="95"/>
      <c r="S672" s="95"/>
      <c r="T672" s="95"/>
      <c r="U672" s="95"/>
      <c r="V672" s="95"/>
      <c r="W672" s="95"/>
      <c r="X672" s="95"/>
      <c r="Y672" s="95"/>
      <c r="Z672" s="95"/>
      <c r="AA672" s="95"/>
      <c r="AB672" s="95"/>
      <c r="AC672" s="95"/>
    </row>
    <row r="673" ht="15.75" customHeight="1" spans="1:29">
      <c r="A673" s="95"/>
      <c r="B673" s="95"/>
      <c r="C673" s="102"/>
      <c r="D673" s="95"/>
      <c r="E673" s="95"/>
      <c r="F673" s="95"/>
      <c r="G673" s="95"/>
      <c r="H673" s="95"/>
      <c r="I673" s="105"/>
      <c r="J673" s="95"/>
      <c r="K673" s="95"/>
      <c r="L673" s="106"/>
      <c r="M673" s="104"/>
      <c r="N673" s="95"/>
      <c r="O673" s="95"/>
      <c r="P673" s="95"/>
      <c r="Q673" s="95"/>
      <c r="R673" s="95"/>
      <c r="S673" s="95"/>
      <c r="T673" s="95"/>
      <c r="U673" s="95"/>
      <c r="V673" s="95"/>
      <c r="W673" s="95"/>
      <c r="X673" s="95"/>
      <c r="Y673" s="95"/>
      <c r="Z673" s="95"/>
      <c r="AA673" s="95"/>
      <c r="AB673" s="95"/>
      <c r="AC673" s="95"/>
    </row>
    <row r="674" ht="15.75" customHeight="1" spans="1:29">
      <c r="A674" s="95"/>
      <c r="B674" s="95"/>
      <c r="C674" s="102"/>
      <c r="D674" s="95"/>
      <c r="E674" s="95"/>
      <c r="F674" s="95"/>
      <c r="G674" s="95"/>
      <c r="H674" s="95"/>
      <c r="I674" s="105"/>
      <c r="J674" s="95"/>
      <c r="K674" s="95"/>
      <c r="L674" s="104"/>
      <c r="M674" s="104"/>
      <c r="N674" s="95"/>
      <c r="O674" s="95"/>
      <c r="P674" s="95"/>
      <c r="Q674" s="95"/>
      <c r="R674" s="95"/>
      <c r="S674" s="95"/>
      <c r="T674" s="95"/>
      <c r="U674" s="95"/>
      <c r="V674" s="95"/>
      <c r="W674" s="95"/>
      <c r="X674" s="95"/>
      <c r="Y674" s="95"/>
      <c r="Z674" s="95"/>
      <c r="AA674" s="95"/>
      <c r="AB674" s="95"/>
      <c r="AC674" s="95"/>
    </row>
    <row r="675" ht="15.75" customHeight="1" spans="1:29">
      <c r="A675" s="95"/>
      <c r="B675" s="95"/>
      <c r="C675" s="102"/>
      <c r="D675" s="95"/>
      <c r="E675" s="95"/>
      <c r="F675" s="95"/>
      <c r="G675" s="95"/>
      <c r="H675" s="95"/>
      <c r="I675" s="105"/>
      <c r="J675" s="95"/>
      <c r="K675" s="95"/>
      <c r="L675" s="104"/>
      <c r="M675" s="104"/>
      <c r="N675" s="95"/>
      <c r="O675" s="95"/>
      <c r="P675" s="95"/>
      <c r="Q675" s="95"/>
      <c r="R675" s="95"/>
      <c r="S675" s="95"/>
      <c r="T675" s="95"/>
      <c r="U675" s="95"/>
      <c r="V675" s="95"/>
      <c r="W675" s="95"/>
      <c r="X675" s="95"/>
      <c r="Y675" s="95"/>
      <c r="Z675" s="95"/>
      <c r="AA675" s="95"/>
      <c r="AB675" s="95"/>
      <c r="AC675" s="95"/>
    </row>
    <row r="676" ht="15.75" customHeight="1" spans="1:29">
      <c r="A676" s="95"/>
      <c r="B676" s="95"/>
      <c r="C676" s="102"/>
      <c r="D676" s="95"/>
      <c r="E676" s="95"/>
      <c r="F676" s="95"/>
      <c r="G676" s="95"/>
      <c r="H676" s="95"/>
      <c r="I676" s="103"/>
      <c r="J676" s="95"/>
      <c r="K676" s="95"/>
      <c r="L676" s="104"/>
      <c r="M676" s="104"/>
      <c r="N676" s="95"/>
      <c r="O676" s="95"/>
      <c r="P676" s="95"/>
      <c r="Q676" s="95"/>
      <c r="R676" s="95"/>
      <c r="S676" s="95"/>
      <c r="T676" s="95"/>
      <c r="U676" s="95"/>
      <c r="V676" s="95"/>
      <c r="W676" s="95"/>
      <c r="X676" s="95"/>
      <c r="Y676" s="95"/>
      <c r="Z676" s="95"/>
      <c r="AA676" s="95"/>
      <c r="AB676" s="95"/>
      <c r="AC676" s="95"/>
    </row>
    <row r="677" ht="15.75" customHeight="1" spans="1:29">
      <c r="A677" s="95"/>
      <c r="B677" s="95"/>
      <c r="C677" s="102"/>
      <c r="D677" s="95"/>
      <c r="E677" s="95"/>
      <c r="F677" s="95"/>
      <c r="G677" s="95"/>
      <c r="H677" s="95"/>
      <c r="I677" s="105"/>
      <c r="J677" s="95"/>
      <c r="K677" s="95"/>
      <c r="L677" s="104"/>
      <c r="M677" s="106"/>
      <c r="N677" s="95"/>
      <c r="O677" s="95"/>
      <c r="P677" s="95"/>
      <c r="Q677" s="95"/>
      <c r="R677" s="95"/>
      <c r="S677" s="95"/>
      <c r="T677" s="95"/>
      <c r="U677" s="95"/>
      <c r="V677" s="95"/>
      <c r="W677" s="95"/>
      <c r="X677" s="95"/>
      <c r="Y677" s="95"/>
      <c r="Z677" s="95"/>
      <c r="AA677" s="95"/>
      <c r="AB677" s="95"/>
      <c r="AC677" s="95"/>
    </row>
    <row r="678" ht="15.75" customHeight="1" spans="1:29">
      <c r="A678" s="95"/>
      <c r="B678" s="95"/>
      <c r="C678" s="102"/>
      <c r="D678" s="95"/>
      <c r="E678" s="95"/>
      <c r="F678" s="95"/>
      <c r="G678" s="95"/>
      <c r="H678" s="95"/>
      <c r="I678" s="105"/>
      <c r="J678" s="95"/>
      <c r="K678" s="95"/>
      <c r="L678" s="104"/>
      <c r="M678" s="104"/>
      <c r="N678" s="95"/>
      <c r="O678" s="95"/>
      <c r="P678" s="95"/>
      <c r="Q678" s="95"/>
      <c r="R678" s="95"/>
      <c r="S678" s="95"/>
      <c r="T678" s="95"/>
      <c r="U678" s="95"/>
      <c r="V678" s="95"/>
      <c r="W678" s="95"/>
      <c r="X678" s="95"/>
      <c r="Y678" s="95"/>
      <c r="Z678" s="95"/>
      <c r="AA678" s="95"/>
      <c r="AB678" s="95"/>
      <c r="AC678" s="95"/>
    </row>
    <row r="679" ht="15.75" customHeight="1" spans="1:29">
      <c r="A679" s="95"/>
      <c r="B679" s="95"/>
      <c r="C679" s="102"/>
      <c r="D679" s="95"/>
      <c r="E679" s="95"/>
      <c r="F679" s="95"/>
      <c r="G679" s="95"/>
      <c r="H679" s="95"/>
      <c r="I679" s="103"/>
      <c r="J679" s="95"/>
      <c r="K679" s="95"/>
      <c r="L679" s="104"/>
      <c r="M679" s="104"/>
      <c r="N679" s="95"/>
      <c r="O679" s="95"/>
      <c r="P679" s="95"/>
      <c r="Q679" s="95"/>
      <c r="R679" s="95"/>
      <c r="S679" s="95"/>
      <c r="T679" s="95"/>
      <c r="U679" s="95"/>
      <c r="V679" s="95"/>
      <c r="W679" s="95"/>
      <c r="X679" s="95"/>
      <c r="Y679" s="95"/>
      <c r="Z679" s="95"/>
      <c r="AA679" s="95"/>
      <c r="AB679" s="95"/>
      <c r="AC679" s="95"/>
    </row>
    <row r="680" ht="15.75" customHeight="1" spans="1:29">
      <c r="A680" s="95"/>
      <c r="B680" s="95"/>
      <c r="C680" s="102"/>
      <c r="D680" s="95"/>
      <c r="E680" s="95"/>
      <c r="F680" s="95"/>
      <c r="G680" s="95"/>
      <c r="H680" s="95"/>
      <c r="I680" s="103"/>
      <c r="J680" s="95"/>
      <c r="K680" s="95"/>
      <c r="L680" s="104"/>
      <c r="M680" s="104"/>
      <c r="N680" s="95"/>
      <c r="O680" s="95"/>
      <c r="P680" s="95"/>
      <c r="Q680" s="95"/>
      <c r="R680" s="95"/>
      <c r="S680" s="95"/>
      <c r="T680" s="95"/>
      <c r="U680" s="95"/>
      <c r="V680" s="95"/>
      <c r="W680" s="95"/>
      <c r="X680" s="95"/>
      <c r="Y680" s="95"/>
      <c r="Z680" s="95"/>
      <c r="AA680" s="95"/>
      <c r="AB680" s="95"/>
      <c r="AC680" s="95"/>
    </row>
    <row r="681" ht="15.75" customHeight="1" spans="1:29">
      <c r="A681" s="95"/>
      <c r="B681" s="95"/>
      <c r="C681" s="102"/>
      <c r="D681" s="95"/>
      <c r="E681" s="95"/>
      <c r="F681" s="95"/>
      <c r="G681" s="95"/>
      <c r="H681" s="95"/>
      <c r="I681" s="105"/>
      <c r="J681" s="95"/>
      <c r="K681" s="95"/>
      <c r="L681" s="104"/>
      <c r="M681" s="104"/>
      <c r="N681" s="95"/>
      <c r="O681" s="95"/>
      <c r="P681" s="95"/>
      <c r="Q681" s="95"/>
      <c r="R681" s="95"/>
      <c r="S681" s="95"/>
      <c r="T681" s="95"/>
      <c r="U681" s="95"/>
      <c r="V681" s="95"/>
      <c r="W681" s="95"/>
      <c r="X681" s="95"/>
      <c r="Y681" s="95"/>
      <c r="Z681" s="95"/>
      <c r="AA681" s="95"/>
      <c r="AB681" s="95"/>
      <c r="AC681" s="95"/>
    </row>
    <row r="682" ht="15.75" customHeight="1" spans="1:29">
      <c r="A682" s="95"/>
      <c r="B682" s="95"/>
      <c r="C682" s="102"/>
      <c r="D682" s="95"/>
      <c r="E682" s="95"/>
      <c r="F682" s="95"/>
      <c r="G682" s="95"/>
      <c r="H682" s="95"/>
      <c r="I682" s="105"/>
      <c r="J682" s="95"/>
      <c r="K682" s="95"/>
      <c r="L682" s="104"/>
      <c r="M682" s="104"/>
      <c r="N682" s="95"/>
      <c r="O682" s="95"/>
      <c r="P682" s="95"/>
      <c r="Q682" s="95"/>
      <c r="R682" s="95"/>
      <c r="S682" s="95"/>
      <c r="T682" s="95"/>
      <c r="U682" s="95"/>
      <c r="V682" s="95"/>
      <c r="W682" s="95"/>
      <c r="X682" s="95"/>
      <c r="Y682" s="95"/>
      <c r="Z682" s="95"/>
      <c r="AA682" s="95"/>
      <c r="AB682" s="95"/>
      <c r="AC682" s="95"/>
    </row>
    <row r="683" ht="15.75" customHeight="1" spans="1:29">
      <c r="A683" s="95"/>
      <c r="B683" s="95"/>
      <c r="C683" s="102"/>
      <c r="D683" s="95"/>
      <c r="E683" s="95"/>
      <c r="F683" s="95"/>
      <c r="G683" s="95"/>
      <c r="H683" s="95"/>
      <c r="I683" s="105"/>
      <c r="J683" s="95"/>
      <c r="K683" s="95"/>
      <c r="L683" s="104"/>
      <c r="M683" s="104"/>
      <c r="N683" s="95"/>
      <c r="O683" s="95"/>
      <c r="P683" s="95"/>
      <c r="Q683" s="95"/>
      <c r="R683" s="95"/>
      <c r="S683" s="95"/>
      <c r="T683" s="95"/>
      <c r="U683" s="95"/>
      <c r="V683" s="95"/>
      <c r="W683" s="95"/>
      <c r="X683" s="95"/>
      <c r="Y683" s="95"/>
      <c r="Z683" s="95"/>
      <c r="AA683" s="95"/>
      <c r="AB683" s="95"/>
      <c r="AC683" s="95"/>
    </row>
    <row r="684" ht="15.75" customHeight="1" spans="1:29">
      <c r="A684" s="95"/>
      <c r="B684" s="95"/>
      <c r="C684" s="102"/>
      <c r="D684" s="95"/>
      <c r="E684" s="95"/>
      <c r="F684" s="95"/>
      <c r="G684" s="95"/>
      <c r="H684" s="95"/>
      <c r="I684" s="105"/>
      <c r="J684" s="95"/>
      <c r="K684" s="95"/>
      <c r="L684" s="104"/>
      <c r="M684" s="104"/>
      <c r="N684" s="95"/>
      <c r="O684" s="95"/>
      <c r="P684" s="95"/>
      <c r="Q684" s="95"/>
      <c r="R684" s="95"/>
      <c r="S684" s="95"/>
      <c r="T684" s="95"/>
      <c r="U684" s="95"/>
      <c r="V684" s="95"/>
      <c r="W684" s="95"/>
      <c r="X684" s="95"/>
      <c r="Y684" s="95"/>
      <c r="Z684" s="95"/>
      <c r="AA684" s="95"/>
      <c r="AB684" s="95"/>
      <c r="AC684" s="95"/>
    </row>
    <row r="685" ht="15.75" customHeight="1" spans="1:29">
      <c r="A685" s="95"/>
      <c r="B685" s="95"/>
      <c r="C685" s="102"/>
      <c r="D685" s="95"/>
      <c r="E685" s="95"/>
      <c r="F685" s="95"/>
      <c r="G685" s="95"/>
      <c r="H685" s="95"/>
      <c r="I685" s="105"/>
      <c r="J685" s="95"/>
      <c r="K685" s="95"/>
      <c r="L685" s="104"/>
      <c r="M685" s="104"/>
      <c r="N685" s="95"/>
      <c r="O685" s="95"/>
      <c r="P685" s="95"/>
      <c r="Q685" s="95"/>
      <c r="R685" s="95"/>
      <c r="S685" s="95"/>
      <c r="T685" s="95"/>
      <c r="U685" s="95"/>
      <c r="V685" s="95"/>
      <c r="W685" s="95"/>
      <c r="X685" s="95"/>
      <c r="Y685" s="95"/>
      <c r="Z685" s="95"/>
      <c r="AA685" s="95"/>
      <c r="AB685" s="95"/>
      <c r="AC685" s="95"/>
    </row>
    <row r="686" ht="15.75" customHeight="1" spans="1:29">
      <c r="A686" s="95"/>
      <c r="B686" s="95"/>
      <c r="C686" s="102"/>
      <c r="D686" s="95"/>
      <c r="E686" s="95"/>
      <c r="F686" s="95"/>
      <c r="G686" s="95"/>
      <c r="H686" s="95"/>
      <c r="I686" s="105"/>
      <c r="J686" s="95"/>
      <c r="K686" s="95"/>
      <c r="L686" s="104"/>
      <c r="M686" s="106"/>
      <c r="N686" s="95"/>
      <c r="O686" s="95"/>
      <c r="P686" s="95"/>
      <c r="Q686" s="95"/>
      <c r="R686" s="95"/>
      <c r="S686" s="95"/>
      <c r="T686" s="95"/>
      <c r="U686" s="95"/>
      <c r="V686" s="95"/>
      <c r="W686" s="95"/>
      <c r="X686" s="95"/>
      <c r="Y686" s="95"/>
      <c r="Z686" s="95"/>
      <c r="AA686" s="95"/>
      <c r="AB686" s="95"/>
      <c r="AC686" s="95"/>
    </row>
    <row r="687" ht="15.75" customHeight="1" spans="1:29">
      <c r="A687" s="95"/>
      <c r="B687" s="95"/>
      <c r="C687" s="102"/>
      <c r="D687" s="95"/>
      <c r="E687" s="95"/>
      <c r="F687" s="95"/>
      <c r="G687" s="95"/>
      <c r="H687" s="95"/>
      <c r="I687" s="105"/>
      <c r="J687" s="95"/>
      <c r="K687" s="95"/>
      <c r="L687" s="104"/>
      <c r="M687" s="104"/>
      <c r="N687" s="95"/>
      <c r="O687" s="95"/>
      <c r="P687" s="95"/>
      <c r="Q687" s="95"/>
      <c r="R687" s="95"/>
      <c r="S687" s="95"/>
      <c r="T687" s="95"/>
      <c r="U687" s="95"/>
      <c r="V687" s="95"/>
      <c r="W687" s="95"/>
      <c r="X687" s="95"/>
      <c r="Y687" s="95"/>
      <c r="Z687" s="95"/>
      <c r="AA687" s="95"/>
      <c r="AB687" s="95"/>
      <c r="AC687" s="95"/>
    </row>
    <row r="688" ht="15.75" customHeight="1" spans="1:29">
      <c r="A688" s="95"/>
      <c r="B688" s="95"/>
      <c r="C688" s="102"/>
      <c r="D688" s="95"/>
      <c r="E688" s="95"/>
      <c r="F688" s="95"/>
      <c r="G688" s="95"/>
      <c r="H688" s="95"/>
      <c r="I688" s="105"/>
      <c r="J688" s="95"/>
      <c r="K688" s="95"/>
      <c r="L688" s="104"/>
      <c r="M688" s="106"/>
      <c r="N688" s="95"/>
      <c r="O688" s="95"/>
      <c r="P688" s="95"/>
      <c r="Q688" s="95"/>
      <c r="R688" s="95"/>
      <c r="S688" s="95"/>
      <c r="T688" s="95"/>
      <c r="U688" s="95"/>
      <c r="V688" s="95"/>
      <c r="W688" s="95"/>
      <c r="X688" s="95"/>
      <c r="Y688" s="95"/>
      <c r="Z688" s="95"/>
      <c r="AA688" s="95"/>
      <c r="AB688" s="95"/>
      <c r="AC688" s="95"/>
    </row>
    <row r="689" ht="15.75" customHeight="1" spans="1:29">
      <c r="A689" s="95"/>
      <c r="B689" s="95"/>
      <c r="C689" s="102"/>
      <c r="D689" s="95"/>
      <c r="E689" s="95"/>
      <c r="F689" s="95"/>
      <c r="G689" s="95"/>
      <c r="H689" s="95"/>
      <c r="I689" s="105"/>
      <c r="J689" s="95"/>
      <c r="K689" s="95"/>
      <c r="L689" s="104"/>
      <c r="M689" s="106"/>
      <c r="N689" s="95"/>
      <c r="O689" s="95"/>
      <c r="P689" s="95"/>
      <c r="Q689" s="95"/>
      <c r="R689" s="95"/>
      <c r="S689" s="95"/>
      <c r="T689" s="95"/>
      <c r="U689" s="95"/>
      <c r="V689" s="95"/>
      <c r="W689" s="95"/>
      <c r="X689" s="95"/>
      <c r="Y689" s="95"/>
      <c r="Z689" s="95"/>
      <c r="AA689" s="95"/>
      <c r="AB689" s="95"/>
      <c r="AC689" s="95"/>
    </row>
    <row r="690" ht="15.75" customHeight="1" spans="1:29">
      <c r="A690" s="95"/>
      <c r="B690" s="95"/>
      <c r="C690" s="102"/>
      <c r="D690" s="95"/>
      <c r="E690" s="95"/>
      <c r="F690" s="95"/>
      <c r="G690" s="95"/>
      <c r="H690" s="95"/>
      <c r="I690" s="103"/>
      <c r="J690" s="95"/>
      <c r="K690" s="95"/>
      <c r="L690" s="104"/>
      <c r="M690" s="104"/>
      <c r="N690" s="95"/>
      <c r="O690" s="95"/>
      <c r="P690" s="95"/>
      <c r="Q690" s="95"/>
      <c r="R690" s="95"/>
      <c r="S690" s="95"/>
      <c r="T690" s="95"/>
      <c r="U690" s="95"/>
      <c r="V690" s="95"/>
      <c r="W690" s="95"/>
      <c r="X690" s="95"/>
      <c r="Y690" s="95"/>
      <c r="Z690" s="95"/>
      <c r="AA690" s="95"/>
      <c r="AB690" s="95"/>
      <c r="AC690" s="95"/>
    </row>
    <row r="691" ht="15.75" customHeight="1" spans="1:29">
      <c r="A691" s="95"/>
      <c r="B691" s="95"/>
      <c r="C691" s="102"/>
      <c r="D691" s="95"/>
      <c r="E691" s="95"/>
      <c r="F691" s="95"/>
      <c r="G691" s="95"/>
      <c r="H691" s="95"/>
      <c r="I691" s="105"/>
      <c r="J691" s="95"/>
      <c r="K691" s="95"/>
      <c r="L691" s="104"/>
      <c r="M691" s="106"/>
      <c r="N691" s="95"/>
      <c r="O691" s="95"/>
      <c r="P691" s="95"/>
      <c r="Q691" s="95"/>
      <c r="R691" s="95"/>
      <c r="S691" s="95"/>
      <c r="T691" s="95"/>
      <c r="U691" s="95"/>
      <c r="V691" s="95"/>
      <c r="W691" s="95"/>
      <c r="X691" s="95"/>
      <c r="Y691" s="95"/>
      <c r="Z691" s="95"/>
      <c r="AA691" s="95"/>
      <c r="AB691" s="95"/>
      <c r="AC691" s="95"/>
    </row>
    <row r="692" ht="15.75" customHeight="1" spans="1:29">
      <c r="A692" s="95"/>
      <c r="B692" s="95"/>
      <c r="C692" s="102"/>
      <c r="D692" s="95"/>
      <c r="E692" s="95"/>
      <c r="F692" s="95"/>
      <c r="G692" s="95"/>
      <c r="H692" s="95"/>
      <c r="I692" s="105"/>
      <c r="J692" s="95"/>
      <c r="K692" s="95"/>
      <c r="L692" s="104"/>
      <c r="M692" s="104"/>
      <c r="N692" s="95"/>
      <c r="O692" s="95"/>
      <c r="P692" s="95"/>
      <c r="Q692" s="95"/>
      <c r="R692" s="95"/>
      <c r="S692" s="95"/>
      <c r="T692" s="95"/>
      <c r="U692" s="95"/>
      <c r="V692" s="95"/>
      <c r="W692" s="95"/>
      <c r="X692" s="95"/>
      <c r="Y692" s="95"/>
      <c r="Z692" s="95"/>
      <c r="AA692" s="95"/>
      <c r="AB692" s="95"/>
      <c r="AC692" s="95"/>
    </row>
    <row r="693" ht="15.75" customHeight="1" spans="1:29">
      <c r="A693" s="95"/>
      <c r="B693" s="95"/>
      <c r="C693" s="102"/>
      <c r="D693" s="95"/>
      <c r="E693" s="95"/>
      <c r="F693" s="95"/>
      <c r="G693" s="95"/>
      <c r="H693" s="95"/>
      <c r="I693" s="105"/>
      <c r="J693" s="95"/>
      <c r="K693" s="95"/>
      <c r="L693" s="104"/>
      <c r="M693" s="104"/>
      <c r="N693" s="95"/>
      <c r="O693" s="95"/>
      <c r="P693" s="95"/>
      <c r="Q693" s="95"/>
      <c r="R693" s="95"/>
      <c r="S693" s="95"/>
      <c r="T693" s="95"/>
      <c r="U693" s="95"/>
      <c r="V693" s="95"/>
      <c r="W693" s="95"/>
      <c r="X693" s="95"/>
      <c r="Y693" s="95"/>
      <c r="Z693" s="95"/>
      <c r="AA693" s="95"/>
      <c r="AB693" s="95"/>
      <c r="AC693" s="95"/>
    </row>
    <row r="694" ht="15.75" customHeight="1" spans="1:29">
      <c r="A694" s="95"/>
      <c r="B694" s="95"/>
      <c r="C694" s="102"/>
      <c r="D694" s="95"/>
      <c r="E694" s="95"/>
      <c r="F694" s="95"/>
      <c r="G694" s="95"/>
      <c r="H694" s="95"/>
      <c r="I694" s="105"/>
      <c r="J694" s="95"/>
      <c r="K694" s="95"/>
      <c r="L694" s="104"/>
      <c r="M694" s="104"/>
      <c r="N694" s="95"/>
      <c r="O694" s="95"/>
      <c r="P694" s="95"/>
      <c r="Q694" s="95"/>
      <c r="R694" s="95"/>
      <c r="S694" s="95"/>
      <c r="T694" s="95"/>
      <c r="U694" s="95"/>
      <c r="V694" s="95"/>
      <c r="W694" s="95"/>
      <c r="X694" s="95"/>
      <c r="Y694" s="95"/>
      <c r="Z694" s="95"/>
      <c r="AA694" s="95"/>
      <c r="AB694" s="95"/>
      <c r="AC694" s="95"/>
    </row>
    <row r="695" ht="15.75" customHeight="1" spans="1:29">
      <c r="A695" s="95"/>
      <c r="B695" s="95"/>
      <c r="C695" s="102"/>
      <c r="D695" s="95"/>
      <c r="E695" s="95"/>
      <c r="F695" s="95"/>
      <c r="G695" s="95"/>
      <c r="H695" s="95"/>
      <c r="I695" s="105"/>
      <c r="J695" s="95"/>
      <c r="K695" s="95"/>
      <c r="L695" s="104"/>
      <c r="M695" s="104"/>
      <c r="N695" s="95"/>
      <c r="O695" s="95"/>
      <c r="P695" s="95"/>
      <c r="Q695" s="95"/>
      <c r="R695" s="95"/>
      <c r="S695" s="95"/>
      <c r="T695" s="95"/>
      <c r="U695" s="95"/>
      <c r="V695" s="95"/>
      <c r="W695" s="95"/>
      <c r="X695" s="95"/>
      <c r="Y695" s="95"/>
      <c r="Z695" s="95"/>
      <c r="AA695" s="95"/>
      <c r="AB695" s="95"/>
      <c r="AC695" s="95"/>
    </row>
    <row r="696" ht="15.75" customHeight="1" spans="1:29">
      <c r="A696" s="95"/>
      <c r="B696" s="95"/>
      <c r="C696" s="102"/>
      <c r="D696" s="95"/>
      <c r="E696" s="95"/>
      <c r="F696" s="95"/>
      <c r="G696" s="95"/>
      <c r="H696" s="95"/>
      <c r="I696" s="105"/>
      <c r="J696" s="95"/>
      <c r="K696" s="95"/>
      <c r="L696" s="104"/>
      <c r="M696" s="104"/>
      <c r="N696" s="95"/>
      <c r="O696" s="95"/>
      <c r="P696" s="95"/>
      <c r="Q696" s="95"/>
      <c r="R696" s="95"/>
      <c r="S696" s="95"/>
      <c r="T696" s="95"/>
      <c r="U696" s="95"/>
      <c r="V696" s="95"/>
      <c r="W696" s="95"/>
      <c r="X696" s="95"/>
      <c r="Y696" s="95"/>
      <c r="Z696" s="95"/>
      <c r="AA696" s="95"/>
      <c r="AB696" s="95"/>
      <c r="AC696" s="95"/>
    </row>
    <row r="697" ht="15.75" customHeight="1" spans="1:29">
      <c r="A697" s="95"/>
      <c r="B697" s="95"/>
      <c r="C697" s="102"/>
      <c r="D697" s="95"/>
      <c r="E697" s="95"/>
      <c r="F697" s="95"/>
      <c r="G697" s="95"/>
      <c r="H697" s="95"/>
      <c r="I697" s="105"/>
      <c r="J697" s="95"/>
      <c r="K697" s="95"/>
      <c r="L697" s="104"/>
      <c r="M697" s="104"/>
      <c r="N697" s="95"/>
      <c r="O697" s="95"/>
      <c r="P697" s="95"/>
      <c r="Q697" s="95"/>
      <c r="R697" s="95"/>
      <c r="S697" s="95"/>
      <c r="T697" s="95"/>
      <c r="U697" s="95"/>
      <c r="V697" s="95"/>
      <c r="W697" s="95"/>
      <c r="X697" s="95"/>
      <c r="Y697" s="95"/>
      <c r="Z697" s="95"/>
      <c r="AA697" s="95"/>
      <c r="AB697" s="95"/>
      <c r="AC697" s="95"/>
    </row>
    <row r="698" ht="15.75" customHeight="1" spans="1:29">
      <c r="A698" s="95"/>
      <c r="B698" s="95"/>
      <c r="C698" s="102"/>
      <c r="D698" s="95"/>
      <c r="E698" s="95"/>
      <c r="F698" s="95"/>
      <c r="G698" s="95"/>
      <c r="H698" s="95"/>
      <c r="I698" s="105"/>
      <c r="J698" s="95"/>
      <c r="K698" s="95"/>
      <c r="L698" s="104"/>
      <c r="M698" s="104"/>
      <c r="N698" s="95"/>
      <c r="O698" s="95"/>
      <c r="P698" s="95"/>
      <c r="Q698" s="95"/>
      <c r="R698" s="95"/>
      <c r="S698" s="95"/>
      <c r="T698" s="95"/>
      <c r="U698" s="95"/>
      <c r="V698" s="95"/>
      <c r="W698" s="95"/>
      <c r="X698" s="95"/>
      <c r="Y698" s="95"/>
      <c r="Z698" s="95"/>
      <c r="AA698" s="95"/>
      <c r="AB698" s="95"/>
      <c r="AC698" s="95"/>
    </row>
    <row r="699" ht="15.75" customHeight="1" spans="1:29">
      <c r="A699" s="95"/>
      <c r="B699" s="95"/>
      <c r="C699" s="102"/>
      <c r="D699" s="95"/>
      <c r="E699" s="95"/>
      <c r="F699" s="95"/>
      <c r="G699" s="95"/>
      <c r="H699" s="95"/>
      <c r="I699" s="105"/>
      <c r="J699" s="95"/>
      <c r="K699" s="95"/>
      <c r="L699" s="106"/>
      <c r="M699" s="104"/>
      <c r="N699" s="95"/>
      <c r="O699" s="95"/>
      <c r="P699" s="95"/>
      <c r="Q699" s="95"/>
      <c r="R699" s="95"/>
      <c r="S699" s="95"/>
      <c r="T699" s="95"/>
      <c r="U699" s="95"/>
      <c r="V699" s="95"/>
      <c r="W699" s="95"/>
      <c r="X699" s="95"/>
      <c r="Y699" s="95"/>
      <c r="Z699" s="95"/>
      <c r="AA699" s="95"/>
      <c r="AB699" s="95"/>
      <c r="AC699" s="95"/>
    </row>
    <row r="700" ht="15.75" customHeight="1" spans="1:29">
      <c r="A700" s="95"/>
      <c r="B700" s="95"/>
      <c r="C700" s="102"/>
      <c r="D700" s="95"/>
      <c r="E700" s="95"/>
      <c r="F700" s="95"/>
      <c r="G700" s="95"/>
      <c r="H700" s="95"/>
      <c r="I700" s="105"/>
      <c r="J700" s="95"/>
      <c r="K700" s="95"/>
      <c r="L700" s="104"/>
      <c r="M700" s="104"/>
      <c r="N700" s="95"/>
      <c r="O700" s="95"/>
      <c r="P700" s="95"/>
      <c r="Q700" s="95"/>
      <c r="R700" s="95"/>
      <c r="S700" s="95"/>
      <c r="T700" s="95"/>
      <c r="U700" s="95"/>
      <c r="V700" s="95"/>
      <c r="W700" s="95"/>
      <c r="X700" s="95"/>
      <c r="Y700" s="95"/>
      <c r="Z700" s="95"/>
      <c r="AA700" s="95"/>
      <c r="AB700" s="95"/>
      <c r="AC700" s="95"/>
    </row>
    <row r="701" ht="15.75" customHeight="1" spans="1:29">
      <c r="A701" s="95"/>
      <c r="B701" s="95"/>
      <c r="C701" s="102"/>
      <c r="D701" s="95"/>
      <c r="E701" s="95"/>
      <c r="F701" s="95"/>
      <c r="G701" s="95"/>
      <c r="H701" s="95"/>
      <c r="I701" s="105"/>
      <c r="J701" s="95"/>
      <c r="K701" s="95"/>
      <c r="L701" s="104"/>
      <c r="M701" s="104"/>
      <c r="N701" s="95"/>
      <c r="O701" s="95"/>
      <c r="P701" s="95"/>
      <c r="Q701" s="95"/>
      <c r="R701" s="95"/>
      <c r="S701" s="95"/>
      <c r="T701" s="95"/>
      <c r="U701" s="95"/>
      <c r="V701" s="95"/>
      <c r="W701" s="95"/>
      <c r="X701" s="95"/>
      <c r="Y701" s="95"/>
      <c r="Z701" s="95"/>
      <c r="AA701" s="95"/>
      <c r="AB701" s="95"/>
      <c r="AC701" s="95"/>
    </row>
    <row r="702" ht="15.75" customHeight="1" spans="1:29">
      <c r="A702" s="95"/>
      <c r="B702" s="95"/>
      <c r="C702" s="102"/>
      <c r="D702" s="95"/>
      <c r="E702" s="95"/>
      <c r="F702" s="95"/>
      <c r="G702" s="95"/>
      <c r="H702" s="95"/>
      <c r="I702" s="105"/>
      <c r="J702" s="95"/>
      <c r="K702" s="95"/>
      <c r="L702" s="104"/>
      <c r="M702" s="104"/>
      <c r="N702" s="95"/>
      <c r="O702" s="95"/>
      <c r="P702" s="95"/>
      <c r="Q702" s="95"/>
      <c r="R702" s="95"/>
      <c r="S702" s="95"/>
      <c r="T702" s="95"/>
      <c r="U702" s="95"/>
      <c r="V702" s="95"/>
      <c r="W702" s="95"/>
      <c r="X702" s="95"/>
      <c r="Y702" s="95"/>
      <c r="Z702" s="95"/>
      <c r="AA702" s="95"/>
      <c r="AB702" s="95"/>
      <c r="AC702" s="95"/>
    </row>
    <row r="703" ht="15.75" customHeight="1" spans="1:29">
      <c r="A703" s="95"/>
      <c r="B703" s="95"/>
      <c r="C703" s="102"/>
      <c r="D703" s="95"/>
      <c r="E703" s="95"/>
      <c r="F703" s="95"/>
      <c r="G703" s="95"/>
      <c r="H703" s="95"/>
      <c r="I703" s="105"/>
      <c r="J703" s="95"/>
      <c r="K703" s="95"/>
      <c r="L703" s="104"/>
      <c r="M703" s="104"/>
      <c r="N703" s="95"/>
      <c r="O703" s="95"/>
      <c r="P703" s="95"/>
      <c r="Q703" s="95"/>
      <c r="R703" s="95"/>
      <c r="S703" s="95"/>
      <c r="T703" s="95"/>
      <c r="U703" s="95"/>
      <c r="V703" s="95"/>
      <c r="W703" s="95"/>
      <c r="X703" s="95"/>
      <c r="Y703" s="95"/>
      <c r="Z703" s="95"/>
      <c r="AA703" s="95"/>
      <c r="AB703" s="95"/>
      <c r="AC703" s="95"/>
    </row>
    <row r="704" ht="15.75" customHeight="1" spans="1:29">
      <c r="A704" s="95"/>
      <c r="B704" s="95"/>
      <c r="C704" s="102"/>
      <c r="D704" s="95"/>
      <c r="E704" s="95"/>
      <c r="F704" s="95"/>
      <c r="G704" s="95"/>
      <c r="H704" s="95"/>
      <c r="I704" s="105"/>
      <c r="J704" s="95"/>
      <c r="K704" s="95"/>
      <c r="L704" s="104"/>
      <c r="M704" s="106"/>
      <c r="N704" s="95"/>
      <c r="O704" s="95"/>
      <c r="P704" s="95"/>
      <c r="Q704" s="95"/>
      <c r="R704" s="95"/>
      <c r="S704" s="95"/>
      <c r="T704" s="95"/>
      <c r="U704" s="95"/>
      <c r="V704" s="95"/>
      <c r="W704" s="95"/>
      <c r="X704" s="95"/>
      <c r="Y704" s="95"/>
      <c r="Z704" s="95"/>
      <c r="AA704" s="95"/>
      <c r="AB704" s="95"/>
      <c r="AC704" s="95"/>
    </row>
    <row r="705" ht="15.75" customHeight="1" spans="1:29">
      <c r="A705" s="95"/>
      <c r="B705" s="95"/>
      <c r="C705" s="102"/>
      <c r="D705" s="95"/>
      <c r="E705" s="95"/>
      <c r="F705" s="95"/>
      <c r="G705" s="95"/>
      <c r="H705" s="95"/>
      <c r="I705" s="103"/>
      <c r="J705" s="95"/>
      <c r="K705" s="95"/>
      <c r="L705" s="104"/>
      <c r="M705" s="104"/>
      <c r="N705" s="95"/>
      <c r="O705" s="95"/>
      <c r="P705" s="95"/>
      <c r="Q705" s="95"/>
      <c r="R705" s="95"/>
      <c r="S705" s="95"/>
      <c r="T705" s="95"/>
      <c r="U705" s="95"/>
      <c r="V705" s="95"/>
      <c r="W705" s="95"/>
      <c r="X705" s="95"/>
      <c r="Y705" s="95"/>
      <c r="Z705" s="95"/>
      <c r="AA705" s="95"/>
      <c r="AB705" s="95"/>
      <c r="AC705" s="95"/>
    </row>
    <row r="706" ht="15.75" customHeight="1" spans="1:29">
      <c r="A706" s="95"/>
      <c r="B706" s="95"/>
      <c r="C706" s="102"/>
      <c r="D706" s="95"/>
      <c r="E706" s="95"/>
      <c r="F706" s="95"/>
      <c r="G706" s="95"/>
      <c r="H706" s="95"/>
      <c r="I706" s="103"/>
      <c r="J706" s="95"/>
      <c r="K706" s="95"/>
      <c r="L706" s="106"/>
      <c r="M706" s="104"/>
      <c r="N706" s="95"/>
      <c r="O706" s="95"/>
      <c r="P706" s="95"/>
      <c r="Q706" s="95"/>
      <c r="R706" s="95"/>
      <c r="S706" s="95"/>
      <c r="T706" s="95"/>
      <c r="U706" s="95"/>
      <c r="V706" s="95"/>
      <c r="W706" s="95"/>
      <c r="X706" s="95"/>
      <c r="Y706" s="95"/>
      <c r="Z706" s="95"/>
      <c r="AA706" s="95"/>
      <c r="AB706" s="95"/>
      <c r="AC706" s="95"/>
    </row>
    <row r="707" ht="15.75" customHeight="1" spans="1:29">
      <c r="A707" s="95"/>
      <c r="B707" s="95"/>
      <c r="C707" s="102"/>
      <c r="D707" s="95"/>
      <c r="E707" s="95"/>
      <c r="F707" s="95"/>
      <c r="G707" s="95"/>
      <c r="H707" s="95"/>
      <c r="I707" s="103"/>
      <c r="J707" s="95"/>
      <c r="K707" s="95"/>
      <c r="L707" s="104"/>
      <c r="M707" s="104"/>
      <c r="N707" s="95"/>
      <c r="O707" s="95"/>
      <c r="P707" s="95"/>
      <c r="Q707" s="95"/>
      <c r="R707" s="95"/>
      <c r="S707" s="95"/>
      <c r="T707" s="95"/>
      <c r="U707" s="95"/>
      <c r="V707" s="95"/>
      <c r="W707" s="95"/>
      <c r="X707" s="95"/>
      <c r="Y707" s="95"/>
      <c r="Z707" s="95"/>
      <c r="AA707" s="95"/>
      <c r="AB707" s="95"/>
      <c r="AC707" s="95"/>
    </row>
    <row r="708" ht="15.75" customHeight="1" spans="1:29">
      <c r="A708" s="95"/>
      <c r="B708" s="95"/>
      <c r="C708" s="102"/>
      <c r="D708" s="95"/>
      <c r="E708" s="95"/>
      <c r="F708" s="95"/>
      <c r="G708" s="95"/>
      <c r="H708" s="95"/>
      <c r="I708" s="103"/>
      <c r="J708" s="95"/>
      <c r="K708" s="95"/>
      <c r="L708" s="104"/>
      <c r="M708" s="104"/>
      <c r="N708" s="95"/>
      <c r="O708" s="95"/>
      <c r="P708" s="95"/>
      <c r="Q708" s="95"/>
      <c r="R708" s="95"/>
      <c r="S708" s="95"/>
      <c r="T708" s="95"/>
      <c r="U708" s="95"/>
      <c r="V708" s="95"/>
      <c r="W708" s="95"/>
      <c r="X708" s="95"/>
      <c r="Y708" s="95"/>
      <c r="Z708" s="95"/>
      <c r="AA708" s="95"/>
      <c r="AB708" s="95"/>
      <c r="AC708" s="95"/>
    </row>
    <row r="709" ht="15.75" customHeight="1" spans="1:29">
      <c r="A709" s="95"/>
      <c r="B709" s="95"/>
      <c r="C709" s="102"/>
      <c r="D709" s="95"/>
      <c r="E709" s="95"/>
      <c r="F709" s="95"/>
      <c r="G709" s="95"/>
      <c r="H709" s="95"/>
      <c r="I709" s="103"/>
      <c r="J709" s="95"/>
      <c r="K709" s="95"/>
      <c r="L709" s="104"/>
      <c r="M709" s="104"/>
      <c r="N709" s="95"/>
      <c r="O709" s="95"/>
      <c r="P709" s="95"/>
      <c r="Q709" s="95"/>
      <c r="R709" s="95"/>
      <c r="S709" s="95"/>
      <c r="T709" s="95"/>
      <c r="U709" s="95"/>
      <c r="V709" s="95"/>
      <c r="W709" s="95"/>
      <c r="X709" s="95"/>
      <c r="Y709" s="95"/>
      <c r="Z709" s="95"/>
      <c r="AA709" s="95"/>
      <c r="AB709" s="95"/>
      <c r="AC709" s="95"/>
    </row>
    <row r="710" ht="15.75" customHeight="1" spans="1:29">
      <c r="A710" s="95"/>
      <c r="B710" s="95"/>
      <c r="C710" s="102"/>
      <c r="D710" s="95"/>
      <c r="E710" s="95"/>
      <c r="F710" s="95"/>
      <c r="G710" s="95"/>
      <c r="H710" s="95"/>
      <c r="I710" s="105"/>
      <c r="J710" s="95"/>
      <c r="K710" s="95"/>
      <c r="L710" s="106"/>
      <c r="M710" s="106"/>
      <c r="N710" s="95"/>
      <c r="O710" s="95"/>
      <c r="P710" s="95"/>
      <c r="Q710" s="95"/>
      <c r="R710" s="95"/>
      <c r="S710" s="95"/>
      <c r="T710" s="95"/>
      <c r="U710" s="95"/>
      <c r="V710" s="95"/>
      <c r="W710" s="95"/>
      <c r="X710" s="95"/>
      <c r="Y710" s="95"/>
      <c r="Z710" s="95"/>
      <c r="AA710" s="95"/>
      <c r="AB710" s="95"/>
      <c r="AC710" s="95"/>
    </row>
    <row r="711" ht="15.75" customHeight="1" spans="1:29">
      <c r="A711" s="95"/>
      <c r="B711" s="95"/>
      <c r="C711" s="102"/>
      <c r="D711" s="95"/>
      <c r="E711" s="95"/>
      <c r="F711" s="95"/>
      <c r="G711" s="95"/>
      <c r="H711" s="95"/>
      <c r="I711" s="105"/>
      <c r="J711" s="95"/>
      <c r="K711" s="95"/>
      <c r="L711" s="104"/>
      <c r="M711" s="104"/>
      <c r="N711" s="95"/>
      <c r="O711" s="95"/>
      <c r="P711" s="95"/>
      <c r="Q711" s="95"/>
      <c r="R711" s="95"/>
      <c r="S711" s="95"/>
      <c r="T711" s="95"/>
      <c r="U711" s="95"/>
      <c r="V711" s="95"/>
      <c r="W711" s="95"/>
      <c r="X711" s="95"/>
      <c r="Y711" s="95"/>
      <c r="Z711" s="95"/>
      <c r="AA711" s="95"/>
      <c r="AB711" s="95"/>
      <c r="AC711" s="95"/>
    </row>
    <row r="712" ht="15.75" customHeight="1" spans="1:29">
      <c r="A712" s="95"/>
      <c r="B712" s="95"/>
      <c r="C712" s="102"/>
      <c r="D712" s="95"/>
      <c r="E712" s="95"/>
      <c r="F712" s="95"/>
      <c r="G712" s="95"/>
      <c r="H712" s="95"/>
      <c r="I712" s="105"/>
      <c r="J712" s="95"/>
      <c r="K712" s="95"/>
      <c r="L712" s="106"/>
      <c r="M712" s="104"/>
      <c r="N712" s="95"/>
      <c r="O712" s="95"/>
      <c r="P712" s="95"/>
      <c r="Q712" s="95"/>
      <c r="R712" s="95"/>
      <c r="S712" s="95"/>
      <c r="T712" s="95"/>
      <c r="U712" s="95"/>
      <c r="V712" s="95"/>
      <c r="W712" s="95"/>
      <c r="X712" s="95"/>
      <c r="Y712" s="95"/>
      <c r="Z712" s="95"/>
      <c r="AA712" s="95"/>
      <c r="AB712" s="95"/>
      <c r="AC712" s="95"/>
    </row>
    <row r="713" ht="15.75" customHeight="1" spans="1:29">
      <c r="A713" s="95"/>
      <c r="B713" s="95"/>
      <c r="C713" s="102"/>
      <c r="D713" s="95"/>
      <c r="E713" s="95"/>
      <c r="F713" s="95"/>
      <c r="G713" s="95"/>
      <c r="H713" s="95"/>
      <c r="I713" s="105"/>
      <c r="J713" s="95"/>
      <c r="K713" s="95"/>
      <c r="L713" s="104"/>
      <c r="M713" s="104"/>
      <c r="N713" s="95"/>
      <c r="O713" s="95"/>
      <c r="P713" s="95"/>
      <c r="Q713" s="95"/>
      <c r="R713" s="95"/>
      <c r="S713" s="95"/>
      <c r="T713" s="95"/>
      <c r="U713" s="95"/>
      <c r="V713" s="95"/>
      <c r="W713" s="95"/>
      <c r="X713" s="95"/>
      <c r="Y713" s="95"/>
      <c r="Z713" s="95"/>
      <c r="AA713" s="95"/>
      <c r="AB713" s="95"/>
      <c r="AC713" s="95"/>
    </row>
    <row r="714" ht="15.75" customHeight="1" spans="1:29">
      <c r="A714" s="95"/>
      <c r="B714" s="95"/>
      <c r="C714" s="102"/>
      <c r="D714" s="95"/>
      <c r="E714" s="95"/>
      <c r="F714" s="95"/>
      <c r="G714" s="95"/>
      <c r="H714" s="95"/>
      <c r="I714" s="105"/>
      <c r="J714" s="95"/>
      <c r="K714" s="95"/>
      <c r="L714" s="104"/>
      <c r="M714" s="106"/>
      <c r="N714" s="95"/>
      <c r="O714" s="95"/>
      <c r="P714" s="95"/>
      <c r="Q714" s="95"/>
      <c r="R714" s="95"/>
      <c r="S714" s="95"/>
      <c r="T714" s="95"/>
      <c r="U714" s="95"/>
      <c r="V714" s="95"/>
      <c r="W714" s="95"/>
      <c r="X714" s="95"/>
      <c r="Y714" s="95"/>
      <c r="Z714" s="95"/>
      <c r="AA714" s="95"/>
      <c r="AB714" s="95"/>
      <c r="AC714" s="95"/>
    </row>
    <row r="715" ht="15.75" customHeight="1" spans="1:29">
      <c r="A715" s="95"/>
      <c r="B715" s="95"/>
      <c r="C715" s="102"/>
      <c r="D715" s="95"/>
      <c r="E715" s="95"/>
      <c r="F715" s="95"/>
      <c r="G715" s="95"/>
      <c r="H715" s="95"/>
      <c r="I715" s="105"/>
      <c r="J715" s="95"/>
      <c r="K715" s="95"/>
      <c r="L715" s="104"/>
      <c r="M715" s="104"/>
      <c r="N715" s="95"/>
      <c r="O715" s="95"/>
      <c r="P715" s="95"/>
      <c r="Q715" s="95"/>
      <c r="R715" s="95"/>
      <c r="S715" s="95"/>
      <c r="T715" s="95"/>
      <c r="U715" s="95"/>
      <c r="V715" s="95"/>
      <c r="W715" s="95"/>
      <c r="X715" s="95"/>
      <c r="Y715" s="95"/>
      <c r="Z715" s="95"/>
      <c r="AA715" s="95"/>
      <c r="AB715" s="95"/>
      <c r="AC715" s="95"/>
    </row>
    <row r="716" ht="15.75" customHeight="1" spans="1:29">
      <c r="A716" s="95"/>
      <c r="B716" s="95"/>
      <c r="C716" s="102"/>
      <c r="D716" s="95"/>
      <c r="E716" s="95"/>
      <c r="F716" s="95"/>
      <c r="G716" s="95"/>
      <c r="H716" s="95"/>
      <c r="I716" s="105"/>
      <c r="J716" s="95"/>
      <c r="K716" s="95"/>
      <c r="L716" s="104"/>
      <c r="M716" s="104"/>
      <c r="N716" s="95"/>
      <c r="O716" s="95"/>
      <c r="P716" s="95"/>
      <c r="Q716" s="95"/>
      <c r="R716" s="95"/>
      <c r="S716" s="95"/>
      <c r="T716" s="95"/>
      <c r="U716" s="95"/>
      <c r="V716" s="95"/>
      <c r="W716" s="95"/>
      <c r="X716" s="95"/>
      <c r="Y716" s="95"/>
      <c r="Z716" s="95"/>
      <c r="AA716" s="95"/>
      <c r="AB716" s="95"/>
      <c r="AC716" s="95"/>
    </row>
    <row r="717" ht="15.75" customHeight="1" spans="1:29">
      <c r="A717" s="95"/>
      <c r="B717" s="95"/>
      <c r="C717" s="102"/>
      <c r="D717" s="95"/>
      <c r="E717" s="95"/>
      <c r="F717" s="95"/>
      <c r="G717" s="95"/>
      <c r="H717" s="95"/>
      <c r="I717" s="105"/>
      <c r="J717" s="95"/>
      <c r="K717" s="95"/>
      <c r="L717" s="104"/>
      <c r="M717" s="104"/>
      <c r="N717" s="95"/>
      <c r="O717" s="95"/>
      <c r="P717" s="95"/>
      <c r="Q717" s="95"/>
      <c r="R717" s="95"/>
      <c r="S717" s="95"/>
      <c r="T717" s="95"/>
      <c r="U717" s="95"/>
      <c r="V717" s="95"/>
      <c r="W717" s="95"/>
      <c r="X717" s="95"/>
      <c r="Y717" s="95"/>
      <c r="Z717" s="95"/>
      <c r="AA717" s="95"/>
      <c r="AB717" s="95"/>
      <c r="AC717" s="95"/>
    </row>
    <row r="718" ht="15.75" customHeight="1" spans="1:29">
      <c r="A718" s="95"/>
      <c r="B718" s="95"/>
      <c r="C718" s="102"/>
      <c r="D718" s="95"/>
      <c r="E718" s="95"/>
      <c r="F718" s="95"/>
      <c r="G718" s="95"/>
      <c r="H718" s="95"/>
      <c r="I718" s="105"/>
      <c r="J718" s="95"/>
      <c r="K718" s="95"/>
      <c r="L718" s="104"/>
      <c r="M718" s="104"/>
      <c r="N718" s="95"/>
      <c r="O718" s="95"/>
      <c r="P718" s="95"/>
      <c r="Q718" s="95"/>
      <c r="R718" s="95"/>
      <c r="S718" s="95"/>
      <c r="T718" s="95"/>
      <c r="U718" s="95"/>
      <c r="V718" s="95"/>
      <c r="W718" s="95"/>
      <c r="X718" s="95"/>
      <c r="Y718" s="95"/>
      <c r="Z718" s="95"/>
      <c r="AA718" s="95"/>
      <c r="AB718" s="95"/>
      <c r="AC718" s="95"/>
    </row>
    <row r="719" ht="15.75" customHeight="1" spans="1:29">
      <c r="A719" s="95"/>
      <c r="B719" s="95"/>
      <c r="C719" s="102"/>
      <c r="D719" s="95"/>
      <c r="E719" s="95"/>
      <c r="F719" s="95"/>
      <c r="G719" s="95"/>
      <c r="H719" s="95"/>
      <c r="I719" s="105"/>
      <c r="J719" s="95"/>
      <c r="K719" s="95"/>
      <c r="L719" s="104"/>
      <c r="M719" s="104"/>
      <c r="N719" s="95"/>
      <c r="O719" s="95"/>
      <c r="P719" s="95"/>
      <c r="Q719" s="95"/>
      <c r="R719" s="95"/>
      <c r="S719" s="95"/>
      <c r="T719" s="95"/>
      <c r="U719" s="95"/>
      <c r="V719" s="95"/>
      <c r="W719" s="95"/>
      <c r="X719" s="95"/>
      <c r="Y719" s="95"/>
      <c r="Z719" s="95"/>
      <c r="AA719" s="95"/>
      <c r="AB719" s="95"/>
      <c r="AC719" s="95"/>
    </row>
    <row r="720" ht="15.75" customHeight="1" spans="1:29">
      <c r="A720" s="95"/>
      <c r="B720" s="95"/>
      <c r="C720" s="102"/>
      <c r="D720" s="95"/>
      <c r="E720" s="95"/>
      <c r="F720" s="95"/>
      <c r="G720" s="95"/>
      <c r="H720" s="95"/>
      <c r="I720" s="105"/>
      <c r="J720" s="95"/>
      <c r="K720" s="95"/>
      <c r="L720" s="104"/>
      <c r="M720" s="106"/>
      <c r="N720" s="95"/>
      <c r="O720" s="95"/>
      <c r="P720" s="95"/>
      <c r="Q720" s="95"/>
      <c r="R720" s="95"/>
      <c r="S720" s="95"/>
      <c r="T720" s="95"/>
      <c r="U720" s="95"/>
      <c r="V720" s="95"/>
      <c r="W720" s="95"/>
      <c r="X720" s="95"/>
      <c r="Y720" s="95"/>
      <c r="Z720" s="95"/>
      <c r="AA720" s="95"/>
      <c r="AB720" s="95"/>
      <c r="AC720" s="95"/>
    </row>
    <row r="721" ht="15.75" customHeight="1" spans="1:29">
      <c r="A721" s="95"/>
      <c r="B721" s="95"/>
      <c r="C721" s="102"/>
      <c r="D721" s="95"/>
      <c r="E721" s="95"/>
      <c r="F721" s="95"/>
      <c r="G721" s="95"/>
      <c r="H721" s="95"/>
      <c r="I721" s="103"/>
      <c r="J721" s="95"/>
      <c r="K721" s="95"/>
      <c r="L721" s="104"/>
      <c r="M721" s="104"/>
      <c r="N721" s="95"/>
      <c r="O721" s="95"/>
      <c r="P721" s="95"/>
      <c r="Q721" s="95"/>
      <c r="R721" s="95"/>
      <c r="S721" s="95"/>
      <c r="T721" s="95"/>
      <c r="U721" s="95"/>
      <c r="V721" s="95"/>
      <c r="W721" s="95"/>
      <c r="X721" s="95"/>
      <c r="Y721" s="95"/>
      <c r="Z721" s="95"/>
      <c r="AA721" s="95"/>
      <c r="AB721" s="95"/>
      <c r="AC721" s="95"/>
    </row>
    <row r="722" ht="15.75" customHeight="1" spans="1:29">
      <c r="A722" s="95"/>
      <c r="B722" s="95"/>
      <c r="C722" s="102"/>
      <c r="D722" s="95"/>
      <c r="E722" s="95"/>
      <c r="F722" s="95"/>
      <c r="G722" s="95"/>
      <c r="H722" s="95"/>
      <c r="I722" s="103"/>
      <c r="J722" s="95"/>
      <c r="K722" s="95"/>
      <c r="L722" s="104"/>
      <c r="M722" s="104"/>
      <c r="N722" s="95"/>
      <c r="O722" s="95"/>
      <c r="P722" s="95"/>
      <c r="Q722" s="95"/>
      <c r="R722" s="95"/>
      <c r="S722" s="95"/>
      <c r="T722" s="95"/>
      <c r="U722" s="95"/>
      <c r="V722" s="95"/>
      <c r="W722" s="95"/>
      <c r="X722" s="95"/>
      <c r="Y722" s="95"/>
      <c r="Z722" s="95"/>
      <c r="AA722" s="95"/>
      <c r="AB722" s="95"/>
      <c r="AC722" s="95"/>
    </row>
    <row r="723" ht="15.75" customHeight="1" spans="1:29">
      <c r="A723" s="95"/>
      <c r="B723" s="95"/>
      <c r="C723" s="102"/>
      <c r="D723" s="95"/>
      <c r="E723" s="95"/>
      <c r="F723" s="95"/>
      <c r="G723" s="95"/>
      <c r="H723" s="95"/>
      <c r="I723" s="103"/>
      <c r="J723" s="95"/>
      <c r="K723" s="95"/>
      <c r="L723" s="104"/>
      <c r="M723" s="104"/>
      <c r="N723" s="95"/>
      <c r="O723" s="95"/>
      <c r="P723" s="95"/>
      <c r="Q723" s="95"/>
      <c r="R723" s="95"/>
      <c r="S723" s="95"/>
      <c r="T723" s="95"/>
      <c r="U723" s="95"/>
      <c r="V723" s="95"/>
      <c r="W723" s="95"/>
      <c r="X723" s="95"/>
      <c r="Y723" s="95"/>
      <c r="Z723" s="95"/>
      <c r="AA723" s="95"/>
      <c r="AB723" s="95"/>
      <c r="AC723" s="95"/>
    </row>
    <row r="724" ht="15.75" customHeight="1" spans="1:29">
      <c r="A724" s="95"/>
      <c r="B724" s="95"/>
      <c r="C724" s="102"/>
      <c r="D724" s="95"/>
      <c r="E724" s="95"/>
      <c r="F724" s="95"/>
      <c r="G724" s="95"/>
      <c r="H724" s="95"/>
      <c r="I724" s="103"/>
      <c r="J724" s="95"/>
      <c r="K724" s="95"/>
      <c r="L724" s="104"/>
      <c r="M724" s="104"/>
      <c r="N724" s="95"/>
      <c r="O724" s="95"/>
      <c r="P724" s="95"/>
      <c r="Q724" s="95"/>
      <c r="R724" s="95"/>
      <c r="S724" s="95"/>
      <c r="T724" s="95"/>
      <c r="U724" s="95"/>
      <c r="V724" s="95"/>
      <c r="W724" s="95"/>
      <c r="X724" s="95"/>
      <c r="Y724" s="95"/>
      <c r="Z724" s="95"/>
      <c r="AA724" s="95"/>
      <c r="AB724" s="95"/>
      <c r="AC724" s="95"/>
    </row>
    <row r="725" ht="15.75" customHeight="1" spans="1:29">
      <c r="A725" s="95"/>
      <c r="B725" s="95"/>
      <c r="C725" s="102"/>
      <c r="D725" s="95"/>
      <c r="E725" s="95"/>
      <c r="F725" s="95"/>
      <c r="G725" s="95"/>
      <c r="H725" s="95"/>
      <c r="I725" s="105"/>
      <c r="J725" s="95"/>
      <c r="K725" s="95"/>
      <c r="L725" s="104"/>
      <c r="M725" s="104"/>
      <c r="N725" s="95"/>
      <c r="O725" s="95"/>
      <c r="P725" s="95"/>
      <c r="Q725" s="95"/>
      <c r="R725" s="95"/>
      <c r="S725" s="95"/>
      <c r="T725" s="95"/>
      <c r="U725" s="95"/>
      <c r="V725" s="95"/>
      <c r="W725" s="95"/>
      <c r="X725" s="95"/>
      <c r="Y725" s="95"/>
      <c r="Z725" s="95"/>
      <c r="AA725" s="95"/>
      <c r="AB725" s="95"/>
      <c r="AC725" s="95"/>
    </row>
    <row r="726" ht="15.75" customHeight="1" spans="1:29">
      <c r="A726" s="95"/>
      <c r="B726" s="95"/>
      <c r="C726" s="102"/>
      <c r="D726" s="95"/>
      <c r="E726" s="95"/>
      <c r="F726" s="95"/>
      <c r="G726" s="95"/>
      <c r="H726" s="95"/>
      <c r="I726" s="105"/>
      <c r="J726" s="95"/>
      <c r="K726" s="95"/>
      <c r="L726" s="104"/>
      <c r="M726" s="104"/>
      <c r="N726" s="95"/>
      <c r="O726" s="95"/>
      <c r="P726" s="95"/>
      <c r="Q726" s="95"/>
      <c r="R726" s="95"/>
      <c r="S726" s="95"/>
      <c r="T726" s="95"/>
      <c r="U726" s="95"/>
      <c r="V726" s="95"/>
      <c r="W726" s="95"/>
      <c r="X726" s="95"/>
      <c r="Y726" s="95"/>
      <c r="Z726" s="95"/>
      <c r="AA726" s="95"/>
      <c r="AB726" s="95"/>
      <c r="AC726" s="95"/>
    </row>
    <row r="727" ht="15.75" customHeight="1" spans="1:29">
      <c r="A727" s="95"/>
      <c r="B727" s="95"/>
      <c r="C727" s="102"/>
      <c r="D727" s="95"/>
      <c r="E727" s="95"/>
      <c r="F727" s="95"/>
      <c r="G727" s="95"/>
      <c r="H727" s="95"/>
      <c r="I727" s="103"/>
      <c r="J727" s="95"/>
      <c r="K727" s="95"/>
      <c r="L727" s="104"/>
      <c r="M727" s="106"/>
      <c r="N727" s="95"/>
      <c r="O727" s="95"/>
      <c r="P727" s="95"/>
      <c r="Q727" s="95"/>
      <c r="R727" s="95"/>
      <c r="S727" s="95"/>
      <c r="T727" s="95"/>
      <c r="U727" s="95"/>
      <c r="V727" s="95"/>
      <c r="W727" s="95"/>
      <c r="X727" s="95"/>
      <c r="Y727" s="95"/>
      <c r="Z727" s="95"/>
      <c r="AA727" s="95"/>
      <c r="AB727" s="95"/>
      <c r="AC727" s="95"/>
    </row>
    <row r="728" ht="15.75" customHeight="1" spans="1:29">
      <c r="A728" s="95"/>
      <c r="B728" s="95"/>
      <c r="C728" s="102"/>
      <c r="D728" s="95"/>
      <c r="E728" s="95"/>
      <c r="F728" s="95"/>
      <c r="G728" s="95"/>
      <c r="H728" s="95"/>
      <c r="I728" s="103"/>
      <c r="J728" s="95"/>
      <c r="K728" s="95"/>
      <c r="L728" s="106"/>
      <c r="M728" s="104"/>
      <c r="N728" s="95"/>
      <c r="O728" s="95"/>
      <c r="P728" s="95"/>
      <c r="Q728" s="95"/>
      <c r="R728" s="95"/>
      <c r="S728" s="95"/>
      <c r="T728" s="95"/>
      <c r="U728" s="95"/>
      <c r="V728" s="95"/>
      <c r="W728" s="95"/>
      <c r="X728" s="95"/>
      <c r="Y728" s="95"/>
      <c r="Z728" s="95"/>
      <c r="AA728" s="95"/>
      <c r="AB728" s="95"/>
      <c r="AC728" s="95"/>
    </row>
    <row r="729" ht="15.75" customHeight="1" spans="1:29">
      <c r="A729" s="95"/>
      <c r="B729" s="95"/>
      <c r="C729" s="102"/>
      <c r="D729" s="95"/>
      <c r="E729" s="95"/>
      <c r="F729" s="95"/>
      <c r="G729" s="95"/>
      <c r="H729" s="95"/>
      <c r="I729" s="105"/>
      <c r="J729" s="95"/>
      <c r="K729" s="95"/>
      <c r="L729" s="106"/>
      <c r="M729" s="104"/>
      <c r="N729" s="95"/>
      <c r="O729" s="95"/>
      <c r="P729" s="95"/>
      <c r="Q729" s="95"/>
      <c r="R729" s="95"/>
      <c r="S729" s="95"/>
      <c r="T729" s="95"/>
      <c r="U729" s="95"/>
      <c r="V729" s="95"/>
      <c r="W729" s="95"/>
      <c r="X729" s="95"/>
      <c r="Y729" s="95"/>
      <c r="Z729" s="95"/>
      <c r="AA729" s="95"/>
      <c r="AB729" s="95"/>
      <c r="AC729" s="95"/>
    </row>
    <row r="730" ht="15.75" customHeight="1" spans="1:29">
      <c r="A730" s="95"/>
      <c r="B730" s="95"/>
      <c r="C730" s="102"/>
      <c r="D730" s="95"/>
      <c r="E730" s="95"/>
      <c r="F730" s="95"/>
      <c r="G730" s="95"/>
      <c r="H730" s="95"/>
      <c r="I730" s="105"/>
      <c r="J730" s="95"/>
      <c r="K730" s="95"/>
      <c r="L730" s="104"/>
      <c r="M730" s="104"/>
      <c r="N730" s="95"/>
      <c r="O730" s="95"/>
      <c r="P730" s="95"/>
      <c r="Q730" s="95"/>
      <c r="R730" s="95"/>
      <c r="S730" s="95"/>
      <c r="T730" s="95"/>
      <c r="U730" s="95"/>
      <c r="V730" s="95"/>
      <c r="W730" s="95"/>
      <c r="X730" s="95"/>
      <c r="Y730" s="95"/>
      <c r="Z730" s="95"/>
      <c r="AA730" s="95"/>
      <c r="AB730" s="95"/>
      <c r="AC730" s="95"/>
    </row>
    <row r="731" ht="15.75" customHeight="1" spans="1:29">
      <c r="A731" s="95"/>
      <c r="B731" s="95"/>
      <c r="C731" s="102"/>
      <c r="D731" s="95"/>
      <c r="E731" s="95"/>
      <c r="F731" s="95"/>
      <c r="G731" s="95"/>
      <c r="H731" s="95"/>
      <c r="I731" s="105"/>
      <c r="J731" s="95"/>
      <c r="K731" s="95"/>
      <c r="L731" s="104"/>
      <c r="M731" s="106"/>
      <c r="N731" s="95"/>
      <c r="O731" s="95"/>
      <c r="P731" s="95"/>
      <c r="Q731" s="95"/>
      <c r="R731" s="95"/>
      <c r="S731" s="95"/>
      <c r="T731" s="95"/>
      <c r="U731" s="95"/>
      <c r="V731" s="95"/>
      <c r="W731" s="95"/>
      <c r="X731" s="95"/>
      <c r="Y731" s="95"/>
      <c r="Z731" s="95"/>
      <c r="AA731" s="95"/>
      <c r="AB731" s="95"/>
      <c r="AC731" s="95"/>
    </row>
    <row r="732" ht="15.75" customHeight="1" spans="1:29">
      <c r="A732" s="95"/>
      <c r="B732" s="95"/>
      <c r="C732" s="102"/>
      <c r="D732" s="95"/>
      <c r="E732" s="95"/>
      <c r="F732" s="95"/>
      <c r="G732" s="95"/>
      <c r="H732" s="95"/>
      <c r="I732" s="105"/>
      <c r="J732" s="95"/>
      <c r="K732" s="95"/>
      <c r="L732" s="104"/>
      <c r="M732" s="106"/>
      <c r="N732" s="95"/>
      <c r="O732" s="95"/>
      <c r="P732" s="95"/>
      <c r="Q732" s="95"/>
      <c r="R732" s="95"/>
      <c r="S732" s="95"/>
      <c r="T732" s="95"/>
      <c r="U732" s="95"/>
      <c r="V732" s="95"/>
      <c r="W732" s="95"/>
      <c r="X732" s="95"/>
      <c r="Y732" s="95"/>
      <c r="Z732" s="95"/>
      <c r="AA732" s="95"/>
      <c r="AB732" s="95"/>
      <c r="AC732" s="95"/>
    </row>
    <row r="733" ht="15.75" customHeight="1" spans="1:29">
      <c r="A733" s="95"/>
      <c r="B733" s="95"/>
      <c r="C733" s="102"/>
      <c r="D733" s="95"/>
      <c r="E733" s="95"/>
      <c r="F733" s="95"/>
      <c r="G733" s="95"/>
      <c r="H733" s="95"/>
      <c r="I733" s="105"/>
      <c r="J733" s="95"/>
      <c r="K733" s="95"/>
      <c r="L733" s="104"/>
      <c r="M733" s="104"/>
      <c r="N733" s="95"/>
      <c r="O733" s="95"/>
      <c r="P733" s="95"/>
      <c r="Q733" s="95"/>
      <c r="R733" s="95"/>
      <c r="S733" s="95"/>
      <c r="T733" s="95"/>
      <c r="U733" s="95"/>
      <c r="V733" s="95"/>
      <c r="W733" s="95"/>
      <c r="X733" s="95"/>
      <c r="Y733" s="95"/>
      <c r="Z733" s="95"/>
      <c r="AA733" s="95"/>
      <c r="AB733" s="95"/>
      <c r="AC733" s="95"/>
    </row>
    <row r="734" ht="15.75" customHeight="1" spans="1:29">
      <c r="A734" s="95"/>
      <c r="B734" s="95"/>
      <c r="C734" s="102"/>
      <c r="D734" s="95"/>
      <c r="E734" s="95"/>
      <c r="F734" s="95"/>
      <c r="G734" s="95"/>
      <c r="H734" s="95"/>
      <c r="I734" s="105"/>
      <c r="J734" s="95"/>
      <c r="K734" s="95"/>
      <c r="L734" s="104"/>
      <c r="M734" s="104"/>
      <c r="N734" s="95"/>
      <c r="O734" s="95"/>
      <c r="P734" s="95"/>
      <c r="Q734" s="95"/>
      <c r="R734" s="95"/>
      <c r="S734" s="95"/>
      <c r="T734" s="95"/>
      <c r="U734" s="95"/>
      <c r="V734" s="95"/>
      <c r="W734" s="95"/>
      <c r="X734" s="95"/>
      <c r="Y734" s="95"/>
      <c r="Z734" s="95"/>
      <c r="AA734" s="95"/>
      <c r="AB734" s="95"/>
      <c r="AC734" s="95"/>
    </row>
    <row r="735" ht="15.75" customHeight="1" spans="1:29">
      <c r="A735" s="95"/>
      <c r="B735" s="95"/>
      <c r="C735" s="102"/>
      <c r="D735" s="95"/>
      <c r="E735" s="95"/>
      <c r="F735" s="95"/>
      <c r="G735" s="95"/>
      <c r="H735" s="95"/>
      <c r="I735" s="105"/>
      <c r="J735" s="95"/>
      <c r="K735" s="95"/>
      <c r="L735" s="104"/>
      <c r="M735" s="104"/>
      <c r="N735" s="95"/>
      <c r="O735" s="95"/>
      <c r="P735" s="95"/>
      <c r="Q735" s="95"/>
      <c r="R735" s="95"/>
      <c r="S735" s="95"/>
      <c r="T735" s="95"/>
      <c r="U735" s="95"/>
      <c r="V735" s="95"/>
      <c r="W735" s="95"/>
      <c r="X735" s="95"/>
      <c r="Y735" s="95"/>
      <c r="Z735" s="95"/>
      <c r="AA735" s="95"/>
      <c r="AB735" s="95"/>
      <c r="AC735" s="95"/>
    </row>
    <row r="736" ht="15.75" customHeight="1" spans="1:29">
      <c r="A736" s="95"/>
      <c r="B736" s="95"/>
      <c r="C736" s="102"/>
      <c r="D736" s="95"/>
      <c r="E736" s="95"/>
      <c r="F736" s="95"/>
      <c r="G736" s="95"/>
      <c r="H736" s="95"/>
      <c r="I736" s="105"/>
      <c r="J736" s="95"/>
      <c r="K736" s="95"/>
      <c r="L736" s="104"/>
      <c r="M736" s="104"/>
      <c r="N736" s="95"/>
      <c r="O736" s="95"/>
      <c r="P736" s="95"/>
      <c r="Q736" s="95"/>
      <c r="R736" s="95"/>
      <c r="S736" s="95"/>
      <c r="T736" s="95"/>
      <c r="U736" s="95"/>
      <c r="V736" s="95"/>
      <c r="W736" s="95"/>
      <c r="X736" s="95"/>
      <c r="Y736" s="95"/>
      <c r="Z736" s="95"/>
      <c r="AA736" s="95"/>
      <c r="AB736" s="95"/>
      <c r="AC736" s="95"/>
    </row>
    <row r="737" ht="15.75" customHeight="1" spans="1:29">
      <c r="A737" s="95"/>
      <c r="B737" s="95"/>
      <c r="C737" s="102"/>
      <c r="D737" s="95"/>
      <c r="E737" s="95"/>
      <c r="F737" s="95"/>
      <c r="G737" s="95"/>
      <c r="H737" s="95"/>
      <c r="I737" s="105"/>
      <c r="J737" s="95"/>
      <c r="K737" s="95"/>
      <c r="L737" s="106"/>
      <c r="M737" s="104"/>
      <c r="N737" s="95"/>
      <c r="O737" s="95"/>
      <c r="P737" s="95"/>
      <c r="Q737" s="95"/>
      <c r="R737" s="95"/>
      <c r="S737" s="95"/>
      <c r="T737" s="95"/>
      <c r="U737" s="95"/>
      <c r="V737" s="95"/>
      <c r="W737" s="95"/>
      <c r="X737" s="95"/>
      <c r="Y737" s="95"/>
      <c r="Z737" s="95"/>
      <c r="AA737" s="95"/>
      <c r="AB737" s="95"/>
      <c r="AC737" s="95"/>
    </row>
    <row r="738" ht="15.75" customHeight="1" spans="1:29">
      <c r="A738" s="95"/>
      <c r="B738" s="95"/>
      <c r="C738" s="102"/>
      <c r="D738" s="95"/>
      <c r="E738" s="95"/>
      <c r="F738" s="95"/>
      <c r="G738" s="95"/>
      <c r="H738" s="95"/>
      <c r="I738" s="105"/>
      <c r="J738" s="95"/>
      <c r="K738" s="95"/>
      <c r="L738" s="104"/>
      <c r="M738" s="104"/>
      <c r="N738" s="95"/>
      <c r="O738" s="95"/>
      <c r="P738" s="95"/>
      <c r="Q738" s="95"/>
      <c r="R738" s="95"/>
      <c r="S738" s="95"/>
      <c r="T738" s="95"/>
      <c r="U738" s="95"/>
      <c r="V738" s="95"/>
      <c r="W738" s="95"/>
      <c r="X738" s="95"/>
      <c r="Y738" s="95"/>
      <c r="Z738" s="95"/>
      <c r="AA738" s="95"/>
      <c r="AB738" s="95"/>
      <c r="AC738" s="95"/>
    </row>
    <row r="739" ht="15.75" customHeight="1" spans="1:29">
      <c r="A739" s="95"/>
      <c r="B739" s="95"/>
      <c r="C739" s="102"/>
      <c r="D739" s="95"/>
      <c r="E739" s="95"/>
      <c r="F739" s="95"/>
      <c r="G739" s="95"/>
      <c r="H739" s="95"/>
      <c r="I739" s="105"/>
      <c r="J739" s="95"/>
      <c r="K739" s="95"/>
      <c r="L739" s="104"/>
      <c r="M739" s="104"/>
      <c r="N739" s="95"/>
      <c r="O739" s="95"/>
      <c r="P739" s="95"/>
      <c r="Q739" s="95"/>
      <c r="R739" s="95"/>
      <c r="S739" s="95"/>
      <c r="T739" s="95"/>
      <c r="U739" s="95"/>
      <c r="V739" s="95"/>
      <c r="W739" s="95"/>
      <c r="X739" s="95"/>
      <c r="Y739" s="95"/>
      <c r="Z739" s="95"/>
      <c r="AA739" s="95"/>
      <c r="AB739" s="95"/>
      <c r="AC739" s="95"/>
    </row>
    <row r="740" ht="15.75" customHeight="1" spans="1:29">
      <c r="A740" s="95"/>
      <c r="B740" s="95"/>
      <c r="C740" s="102"/>
      <c r="D740" s="95"/>
      <c r="E740" s="95"/>
      <c r="F740" s="95"/>
      <c r="G740" s="95"/>
      <c r="H740" s="95"/>
      <c r="I740" s="103"/>
      <c r="J740" s="95"/>
      <c r="K740" s="95"/>
      <c r="L740" s="104"/>
      <c r="M740" s="104"/>
      <c r="N740" s="95"/>
      <c r="O740" s="95"/>
      <c r="P740" s="95"/>
      <c r="Q740" s="95"/>
      <c r="R740" s="95"/>
      <c r="S740" s="95"/>
      <c r="T740" s="95"/>
      <c r="U740" s="95"/>
      <c r="V740" s="95"/>
      <c r="W740" s="95"/>
      <c r="X740" s="95"/>
      <c r="Y740" s="95"/>
      <c r="Z740" s="95"/>
      <c r="AA740" s="95"/>
      <c r="AB740" s="95"/>
      <c r="AC740" s="95"/>
    </row>
    <row r="741" ht="15.75" customHeight="1" spans="1:29">
      <c r="A741" s="95"/>
      <c r="B741" s="95"/>
      <c r="C741" s="102"/>
      <c r="D741" s="95"/>
      <c r="E741" s="95"/>
      <c r="F741" s="95"/>
      <c r="G741" s="95"/>
      <c r="H741" s="95"/>
      <c r="I741" s="103"/>
      <c r="J741" s="95"/>
      <c r="K741" s="95"/>
      <c r="L741" s="104"/>
      <c r="M741" s="104"/>
      <c r="N741" s="95"/>
      <c r="O741" s="95"/>
      <c r="P741" s="95"/>
      <c r="Q741" s="95"/>
      <c r="R741" s="95"/>
      <c r="S741" s="95"/>
      <c r="T741" s="95"/>
      <c r="U741" s="95"/>
      <c r="V741" s="95"/>
      <c r="W741" s="95"/>
      <c r="X741" s="95"/>
      <c r="Y741" s="95"/>
      <c r="Z741" s="95"/>
      <c r="AA741" s="95"/>
      <c r="AB741" s="95"/>
      <c r="AC741" s="95"/>
    </row>
    <row r="742" ht="15.75" customHeight="1" spans="1:29">
      <c r="A742" s="95"/>
      <c r="B742" s="95"/>
      <c r="C742" s="102"/>
      <c r="D742" s="95"/>
      <c r="E742" s="95"/>
      <c r="F742" s="95"/>
      <c r="G742" s="95"/>
      <c r="H742" s="95"/>
      <c r="I742" s="103"/>
      <c r="J742" s="95"/>
      <c r="K742" s="95"/>
      <c r="L742" s="104"/>
      <c r="M742" s="104"/>
      <c r="N742" s="95"/>
      <c r="O742" s="95"/>
      <c r="P742" s="95"/>
      <c r="Q742" s="95"/>
      <c r="R742" s="95"/>
      <c r="S742" s="95"/>
      <c r="T742" s="95"/>
      <c r="U742" s="95"/>
      <c r="V742" s="95"/>
      <c r="W742" s="95"/>
      <c r="X742" s="95"/>
      <c r="Y742" s="95"/>
      <c r="Z742" s="95"/>
      <c r="AA742" s="95"/>
      <c r="AB742" s="95"/>
      <c r="AC742" s="95"/>
    </row>
    <row r="743" ht="15.75" customHeight="1" spans="1:29">
      <c r="A743" s="95"/>
      <c r="B743" s="95"/>
      <c r="C743" s="102"/>
      <c r="D743" s="95"/>
      <c r="E743" s="95"/>
      <c r="F743" s="95"/>
      <c r="G743" s="95"/>
      <c r="H743" s="95"/>
      <c r="I743" s="105"/>
      <c r="J743" s="95"/>
      <c r="K743" s="95"/>
      <c r="L743" s="104"/>
      <c r="M743" s="104"/>
      <c r="N743" s="95"/>
      <c r="O743" s="95"/>
      <c r="P743" s="95"/>
      <c r="Q743" s="95"/>
      <c r="R743" s="95"/>
      <c r="S743" s="95"/>
      <c r="T743" s="95"/>
      <c r="U743" s="95"/>
      <c r="V743" s="95"/>
      <c r="W743" s="95"/>
      <c r="X743" s="95"/>
      <c r="Y743" s="95"/>
      <c r="Z743" s="95"/>
      <c r="AA743" s="95"/>
      <c r="AB743" s="95"/>
      <c r="AC743" s="95"/>
    </row>
    <row r="744" ht="15.75" customHeight="1" spans="1:29">
      <c r="A744" s="95"/>
      <c r="B744" s="95"/>
      <c r="C744" s="102"/>
      <c r="D744" s="95"/>
      <c r="E744" s="95"/>
      <c r="F744" s="95"/>
      <c r="G744" s="95"/>
      <c r="H744" s="95"/>
      <c r="I744" s="105"/>
      <c r="J744" s="95"/>
      <c r="K744" s="95"/>
      <c r="L744" s="104"/>
      <c r="M744" s="104"/>
      <c r="N744" s="95"/>
      <c r="O744" s="95"/>
      <c r="P744" s="95"/>
      <c r="Q744" s="95"/>
      <c r="R744" s="95"/>
      <c r="S744" s="95"/>
      <c r="T744" s="95"/>
      <c r="U744" s="95"/>
      <c r="V744" s="95"/>
      <c r="W744" s="95"/>
      <c r="X744" s="95"/>
      <c r="Y744" s="95"/>
      <c r="Z744" s="95"/>
      <c r="AA744" s="95"/>
      <c r="AB744" s="95"/>
      <c r="AC744" s="95"/>
    </row>
    <row r="745" ht="15.75" customHeight="1" spans="1:29">
      <c r="A745" s="95"/>
      <c r="B745" s="95"/>
      <c r="C745" s="102"/>
      <c r="D745" s="95"/>
      <c r="E745" s="95"/>
      <c r="F745" s="95"/>
      <c r="G745" s="95"/>
      <c r="H745" s="95"/>
      <c r="I745" s="105"/>
      <c r="J745" s="95"/>
      <c r="K745" s="95"/>
      <c r="L745" s="104"/>
      <c r="M745" s="104"/>
      <c r="N745" s="95"/>
      <c r="O745" s="95"/>
      <c r="P745" s="95"/>
      <c r="Q745" s="95"/>
      <c r="R745" s="95"/>
      <c r="S745" s="95"/>
      <c r="T745" s="95"/>
      <c r="U745" s="95"/>
      <c r="V745" s="95"/>
      <c r="W745" s="95"/>
      <c r="X745" s="95"/>
      <c r="Y745" s="95"/>
      <c r="Z745" s="95"/>
      <c r="AA745" s="95"/>
      <c r="AB745" s="95"/>
      <c r="AC745" s="95"/>
    </row>
    <row r="746" ht="15.75" customHeight="1" spans="1:29">
      <c r="A746" s="95"/>
      <c r="B746" s="95"/>
      <c r="C746" s="102"/>
      <c r="D746" s="95"/>
      <c r="E746" s="95"/>
      <c r="F746" s="95"/>
      <c r="G746" s="95"/>
      <c r="H746" s="95"/>
      <c r="I746" s="103"/>
      <c r="J746" s="95"/>
      <c r="K746" s="95"/>
      <c r="L746" s="104"/>
      <c r="M746" s="104"/>
      <c r="N746" s="95"/>
      <c r="O746" s="95"/>
      <c r="P746" s="95"/>
      <c r="Q746" s="95"/>
      <c r="R746" s="95"/>
      <c r="S746" s="95"/>
      <c r="T746" s="95"/>
      <c r="U746" s="95"/>
      <c r="V746" s="95"/>
      <c r="W746" s="95"/>
      <c r="X746" s="95"/>
      <c r="Y746" s="95"/>
      <c r="Z746" s="95"/>
      <c r="AA746" s="95"/>
      <c r="AB746" s="95"/>
      <c r="AC746" s="95"/>
    </row>
    <row r="747" ht="15.75" customHeight="1" spans="1:29">
      <c r="A747" s="95"/>
      <c r="B747" s="95"/>
      <c r="C747" s="102"/>
      <c r="D747" s="95"/>
      <c r="E747" s="95"/>
      <c r="F747" s="95"/>
      <c r="G747" s="95"/>
      <c r="H747" s="95"/>
      <c r="I747" s="105"/>
      <c r="J747" s="95"/>
      <c r="K747" s="95"/>
      <c r="L747" s="104"/>
      <c r="M747" s="106"/>
      <c r="N747" s="95"/>
      <c r="O747" s="95"/>
      <c r="P747" s="95"/>
      <c r="Q747" s="95"/>
      <c r="R747" s="95"/>
      <c r="S747" s="95"/>
      <c r="T747" s="95"/>
      <c r="U747" s="95"/>
      <c r="V747" s="95"/>
      <c r="W747" s="95"/>
      <c r="X747" s="95"/>
      <c r="Y747" s="95"/>
      <c r="Z747" s="95"/>
      <c r="AA747" s="95"/>
      <c r="AB747" s="95"/>
      <c r="AC747" s="95"/>
    </row>
    <row r="748" ht="15.75" customHeight="1" spans="1:29">
      <c r="A748" s="95"/>
      <c r="B748" s="95"/>
      <c r="C748" s="102"/>
      <c r="D748" s="95"/>
      <c r="E748" s="95"/>
      <c r="F748" s="95"/>
      <c r="G748" s="95"/>
      <c r="H748" s="95"/>
      <c r="I748" s="105"/>
      <c r="J748" s="95"/>
      <c r="K748" s="95"/>
      <c r="L748" s="104"/>
      <c r="M748" s="104"/>
      <c r="N748" s="95"/>
      <c r="O748" s="95"/>
      <c r="P748" s="95"/>
      <c r="Q748" s="95"/>
      <c r="R748" s="95"/>
      <c r="S748" s="95"/>
      <c r="T748" s="95"/>
      <c r="U748" s="95"/>
      <c r="V748" s="95"/>
      <c r="W748" s="95"/>
      <c r="X748" s="95"/>
      <c r="Y748" s="95"/>
      <c r="Z748" s="95"/>
      <c r="AA748" s="95"/>
      <c r="AB748" s="95"/>
      <c r="AC748" s="95"/>
    </row>
    <row r="749" ht="15.75" customHeight="1" spans="1:29">
      <c r="A749" s="95"/>
      <c r="B749" s="95"/>
      <c r="C749" s="102"/>
      <c r="D749" s="95"/>
      <c r="E749" s="95"/>
      <c r="F749" s="95"/>
      <c r="G749" s="95"/>
      <c r="H749" s="95"/>
      <c r="I749" s="105"/>
      <c r="J749" s="95"/>
      <c r="K749" s="95"/>
      <c r="L749" s="104"/>
      <c r="M749" s="104"/>
      <c r="N749" s="95"/>
      <c r="O749" s="95"/>
      <c r="P749" s="95"/>
      <c r="Q749" s="95"/>
      <c r="R749" s="95"/>
      <c r="S749" s="95"/>
      <c r="T749" s="95"/>
      <c r="U749" s="95"/>
      <c r="V749" s="95"/>
      <c r="W749" s="95"/>
      <c r="X749" s="95"/>
      <c r="Y749" s="95"/>
      <c r="Z749" s="95"/>
      <c r="AA749" s="95"/>
      <c r="AB749" s="95"/>
      <c r="AC749" s="95"/>
    </row>
    <row r="750" ht="15.75" customHeight="1" spans="1:29">
      <c r="A750" s="95"/>
      <c r="B750" s="95"/>
      <c r="C750" s="102"/>
      <c r="D750" s="95"/>
      <c r="E750" s="95"/>
      <c r="F750" s="95"/>
      <c r="G750" s="95"/>
      <c r="H750" s="95"/>
      <c r="I750" s="105"/>
      <c r="J750" s="95"/>
      <c r="K750" s="95"/>
      <c r="L750" s="104"/>
      <c r="M750" s="106"/>
      <c r="N750" s="95"/>
      <c r="O750" s="95"/>
      <c r="P750" s="95"/>
      <c r="Q750" s="95"/>
      <c r="R750" s="95"/>
      <c r="S750" s="95"/>
      <c r="T750" s="95"/>
      <c r="U750" s="95"/>
      <c r="V750" s="95"/>
      <c r="W750" s="95"/>
      <c r="X750" s="95"/>
      <c r="Y750" s="95"/>
      <c r="Z750" s="95"/>
      <c r="AA750" s="95"/>
      <c r="AB750" s="95"/>
      <c r="AC750" s="95"/>
    </row>
    <row r="751" ht="15.75" customHeight="1" spans="1:29">
      <c r="A751" s="95"/>
      <c r="B751" s="95"/>
      <c r="C751" s="102"/>
      <c r="D751" s="95"/>
      <c r="E751" s="95"/>
      <c r="F751" s="95"/>
      <c r="G751" s="95"/>
      <c r="H751" s="95"/>
      <c r="I751" s="105"/>
      <c r="J751" s="95"/>
      <c r="K751" s="95"/>
      <c r="L751" s="104"/>
      <c r="M751" s="104"/>
      <c r="N751" s="95"/>
      <c r="O751" s="95"/>
      <c r="P751" s="95"/>
      <c r="Q751" s="95"/>
      <c r="R751" s="95"/>
      <c r="S751" s="95"/>
      <c r="T751" s="95"/>
      <c r="U751" s="95"/>
      <c r="V751" s="95"/>
      <c r="W751" s="95"/>
      <c r="X751" s="95"/>
      <c r="Y751" s="95"/>
      <c r="Z751" s="95"/>
      <c r="AA751" s="95"/>
      <c r="AB751" s="95"/>
      <c r="AC751" s="95"/>
    </row>
    <row r="752" ht="15.75" customHeight="1" spans="1:29">
      <c r="A752" s="95"/>
      <c r="B752" s="95"/>
      <c r="C752" s="102"/>
      <c r="D752" s="95"/>
      <c r="E752" s="95"/>
      <c r="F752" s="95"/>
      <c r="G752" s="95"/>
      <c r="H752" s="95"/>
      <c r="I752" s="105"/>
      <c r="J752" s="95"/>
      <c r="K752" s="95"/>
      <c r="L752" s="106"/>
      <c r="M752" s="104"/>
      <c r="N752" s="95"/>
      <c r="O752" s="95"/>
      <c r="P752" s="95"/>
      <c r="Q752" s="95"/>
      <c r="R752" s="95"/>
      <c r="S752" s="95"/>
      <c r="T752" s="95"/>
      <c r="U752" s="95"/>
      <c r="V752" s="95"/>
      <c r="W752" s="95"/>
      <c r="X752" s="95"/>
      <c r="Y752" s="95"/>
      <c r="Z752" s="95"/>
      <c r="AA752" s="95"/>
      <c r="AB752" s="95"/>
      <c r="AC752" s="95"/>
    </row>
    <row r="753" ht="15.75" customHeight="1" spans="1:29">
      <c r="A753" s="95"/>
      <c r="B753" s="95"/>
      <c r="C753" s="102"/>
      <c r="D753" s="95"/>
      <c r="E753" s="95"/>
      <c r="F753" s="95"/>
      <c r="G753" s="95"/>
      <c r="H753" s="95"/>
      <c r="I753" s="105"/>
      <c r="J753" s="95"/>
      <c r="K753" s="95"/>
      <c r="L753" s="104"/>
      <c r="M753" s="104"/>
      <c r="N753" s="95"/>
      <c r="O753" s="95"/>
      <c r="P753" s="95"/>
      <c r="Q753" s="95"/>
      <c r="R753" s="95"/>
      <c r="S753" s="95"/>
      <c r="T753" s="95"/>
      <c r="U753" s="95"/>
      <c r="V753" s="95"/>
      <c r="W753" s="95"/>
      <c r="X753" s="95"/>
      <c r="Y753" s="95"/>
      <c r="Z753" s="95"/>
      <c r="AA753" s="95"/>
      <c r="AB753" s="95"/>
      <c r="AC753" s="95"/>
    </row>
    <row r="754" ht="15.75" customHeight="1" spans="1:29">
      <c r="A754" s="95"/>
      <c r="B754" s="95"/>
      <c r="C754" s="102"/>
      <c r="D754" s="95"/>
      <c r="E754" s="95"/>
      <c r="F754" s="95"/>
      <c r="G754" s="95"/>
      <c r="H754" s="95"/>
      <c r="I754" s="105"/>
      <c r="J754" s="95"/>
      <c r="K754" s="95"/>
      <c r="L754" s="104"/>
      <c r="M754" s="104"/>
      <c r="N754" s="95"/>
      <c r="O754" s="95"/>
      <c r="P754" s="95"/>
      <c r="Q754" s="95"/>
      <c r="R754" s="95"/>
      <c r="S754" s="95"/>
      <c r="T754" s="95"/>
      <c r="U754" s="95"/>
      <c r="V754" s="95"/>
      <c r="W754" s="95"/>
      <c r="X754" s="95"/>
      <c r="Y754" s="95"/>
      <c r="Z754" s="95"/>
      <c r="AA754" s="95"/>
      <c r="AB754" s="95"/>
      <c r="AC754" s="95"/>
    </row>
    <row r="755" ht="15.75" customHeight="1" spans="1:29">
      <c r="A755" s="95"/>
      <c r="B755" s="95"/>
      <c r="C755" s="102"/>
      <c r="D755" s="95"/>
      <c r="E755" s="95"/>
      <c r="F755" s="95"/>
      <c r="G755" s="95"/>
      <c r="H755" s="95"/>
      <c r="I755" s="95"/>
      <c r="J755" s="103"/>
      <c r="K755" s="95"/>
      <c r="L755" s="95"/>
      <c r="M755" s="106"/>
      <c r="N755" s="95"/>
      <c r="O755" s="95"/>
      <c r="P755" s="95"/>
      <c r="Q755" s="95"/>
      <c r="R755" s="95"/>
      <c r="S755" s="95"/>
      <c r="T755" s="95"/>
      <c r="U755" s="95"/>
      <c r="V755" s="95"/>
      <c r="W755" s="95"/>
      <c r="X755" s="95"/>
      <c r="Y755" s="95"/>
      <c r="Z755" s="95"/>
      <c r="AA755" s="95"/>
      <c r="AB755" s="95"/>
      <c r="AC755" s="95"/>
    </row>
    <row r="756" ht="15.75" customHeight="1" spans="1:29">
      <c r="A756" s="95"/>
      <c r="B756" s="95"/>
      <c r="C756" s="102"/>
      <c r="D756" s="95"/>
      <c r="E756" s="95"/>
      <c r="F756" s="95"/>
      <c r="G756" s="95"/>
      <c r="H756" s="95"/>
      <c r="I756" s="95"/>
      <c r="J756" s="103"/>
      <c r="K756" s="95"/>
      <c r="L756" s="95"/>
      <c r="M756" s="106"/>
      <c r="N756" s="95"/>
      <c r="O756" s="95"/>
      <c r="P756" s="95"/>
      <c r="Q756" s="95"/>
      <c r="R756" s="95"/>
      <c r="S756" s="95"/>
      <c r="T756" s="95"/>
      <c r="U756" s="95"/>
      <c r="V756" s="95"/>
      <c r="W756" s="95"/>
      <c r="X756" s="95"/>
      <c r="Y756" s="95"/>
      <c r="Z756" s="95"/>
      <c r="AA756" s="95"/>
      <c r="AB756" s="95"/>
      <c r="AC756" s="95"/>
    </row>
    <row r="757" ht="15.75" customHeight="1" spans="1:29">
      <c r="A757" s="95"/>
      <c r="B757" s="95"/>
      <c r="C757" s="102"/>
      <c r="D757" s="95"/>
      <c r="E757" s="95"/>
      <c r="F757" s="95"/>
      <c r="G757" s="95"/>
      <c r="H757" s="95"/>
      <c r="I757" s="95"/>
      <c r="J757" s="103"/>
      <c r="K757" s="95"/>
      <c r="L757" s="95"/>
      <c r="M757" s="104"/>
      <c r="N757" s="95"/>
      <c r="O757" s="95"/>
      <c r="P757" s="95"/>
      <c r="Q757" s="95"/>
      <c r="R757" s="95"/>
      <c r="S757" s="95"/>
      <c r="T757" s="95"/>
      <c r="U757" s="95"/>
      <c r="V757" s="95"/>
      <c r="W757" s="95"/>
      <c r="X757" s="95"/>
      <c r="Y757" s="95"/>
      <c r="Z757" s="95"/>
      <c r="AA757" s="95"/>
      <c r="AB757" s="95"/>
      <c r="AC757" s="95"/>
    </row>
    <row r="758" ht="15.75" customHeight="1" spans="1:29">
      <c r="A758" s="95"/>
      <c r="B758" s="95"/>
      <c r="C758" s="102"/>
      <c r="D758" s="95"/>
      <c r="E758" s="95"/>
      <c r="F758" s="95"/>
      <c r="G758" s="95"/>
      <c r="H758" s="95"/>
      <c r="I758" s="95"/>
      <c r="J758" s="103"/>
      <c r="K758" s="95"/>
      <c r="L758" s="95"/>
      <c r="M758" s="104"/>
      <c r="N758" s="95"/>
      <c r="O758" s="95"/>
      <c r="P758" s="95"/>
      <c r="Q758" s="95"/>
      <c r="R758" s="95"/>
      <c r="S758" s="95"/>
      <c r="T758" s="95"/>
      <c r="U758" s="95"/>
      <c r="V758" s="95"/>
      <c r="W758" s="95"/>
      <c r="X758" s="95"/>
      <c r="Y758" s="95"/>
      <c r="Z758" s="95"/>
      <c r="AA758" s="95"/>
      <c r="AB758" s="95"/>
      <c r="AC758" s="95"/>
    </row>
    <row r="759" ht="15.75" customHeight="1" spans="1:29">
      <c r="A759" s="95"/>
      <c r="B759" s="95"/>
      <c r="C759" s="102"/>
      <c r="D759" s="95"/>
      <c r="E759" s="95"/>
      <c r="F759" s="95"/>
      <c r="G759" s="95"/>
      <c r="H759" s="95"/>
      <c r="I759" s="95"/>
      <c r="J759" s="103"/>
      <c r="K759" s="95"/>
      <c r="L759" s="95"/>
      <c r="M759" s="106"/>
      <c r="N759" s="95"/>
      <c r="O759" s="95"/>
      <c r="P759" s="95"/>
      <c r="Q759" s="95"/>
      <c r="R759" s="95"/>
      <c r="S759" s="95"/>
      <c r="T759" s="95"/>
      <c r="U759" s="95"/>
      <c r="V759" s="95"/>
      <c r="W759" s="95"/>
      <c r="X759" s="95"/>
      <c r="Y759" s="95"/>
      <c r="Z759" s="95"/>
      <c r="AA759" s="95"/>
      <c r="AB759" s="95"/>
      <c r="AC759" s="95"/>
    </row>
    <row r="760" ht="15.75" customHeight="1" spans="1:29">
      <c r="A760" s="95"/>
      <c r="B760" s="95"/>
      <c r="C760" s="102"/>
      <c r="D760" s="95"/>
      <c r="E760" s="95"/>
      <c r="F760" s="95"/>
      <c r="G760" s="95"/>
      <c r="H760" s="95"/>
      <c r="I760" s="95"/>
      <c r="J760" s="103"/>
      <c r="K760" s="95"/>
      <c r="L760" s="95"/>
      <c r="M760" s="104"/>
      <c r="N760" s="95"/>
      <c r="O760" s="95"/>
      <c r="P760" s="95"/>
      <c r="Q760" s="95"/>
      <c r="R760" s="95"/>
      <c r="S760" s="95"/>
      <c r="T760" s="95"/>
      <c r="U760" s="95"/>
      <c r="V760" s="95"/>
      <c r="W760" s="95"/>
      <c r="X760" s="95"/>
      <c r="Y760" s="95"/>
      <c r="Z760" s="95"/>
      <c r="AA760" s="95"/>
      <c r="AB760" s="95"/>
      <c r="AC760" s="95"/>
    </row>
    <row r="761" ht="15.75" customHeight="1" spans="1:29">
      <c r="A761" s="95"/>
      <c r="B761" s="95"/>
      <c r="C761" s="102"/>
      <c r="D761" s="95"/>
      <c r="E761" s="95"/>
      <c r="F761" s="95"/>
      <c r="G761" s="95"/>
      <c r="H761" s="95"/>
      <c r="I761" s="95"/>
      <c r="J761" s="103"/>
      <c r="K761" s="95"/>
      <c r="L761" s="95"/>
      <c r="M761" s="104"/>
      <c r="N761" s="95"/>
      <c r="O761" s="95"/>
      <c r="P761" s="95"/>
      <c r="Q761" s="95"/>
      <c r="R761" s="95"/>
      <c r="S761" s="95"/>
      <c r="T761" s="95"/>
      <c r="U761" s="95"/>
      <c r="V761" s="95"/>
      <c r="W761" s="95"/>
      <c r="X761" s="95"/>
      <c r="Y761" s="95"/>
      <c r="Z761" s="95"/>
      <c r="AA761" s="95"/>
      <c r="AB761" s="95"/>
      <c r="AC761" s="95"/>
    </row>
    <row r="762" ht="15.75" customHeight="1" spans="1:29">
      <c r="A762" s="95"/>
      <c r="B762" s="95"/>
      <c r="C762" s="102"/>
      <c r="D762" s="95"/>
      <c r="E762" s="95"/>
      <c r="F762" s="95"/>
      <c r="G762" s="95"/>
      <c r="H762" s="95"/>
      <c r="I762" s="95"/>
      <c r="J762" s="103"/>
      <c r="K762" s="95"/>
      <c r="L762" s="95"/>
      <c r="M762" s="104"/>
      <c r="N762" s="95"/>
      <c r="O762" s="95"/>
      <c r="P762" s="95"/>
      <c r="Q762" s="95"/>
      <c r="R762" s="95"/>
      <c r="S762" s="95"/>
      <c r="T762" s="95"/>
      <c r="U762" s="95"/>
      <c r="V762" s="95"/>
      <c r="W762" s="95"/>
      <c r="X762" s="95"/>
      <c r="Y762" s="95"/>
      <c r="Z762" s="95"/>
      <c r="AA762" s="95"/>
      <c r="AB762" s="95"/>
      <c r="AC762" s="95"/>
    </row>
    <row r="763" ht="15.75" customHeight="1" spans="1:29">
      <c r="A763" s="95"/>
      <c r="B763" s="95"/>
      <c r="C763" s="102"/>
      <c r="D763" s="95"/>
      <c r="E763" s="95"/>
      <c r="F763" s="95"/>
      <c r="G763" s="95"/>
      <c r="H763" s="95"/>
      <c r="I763" s="95"/>
      <c r="J763" s="103"/>
      <c r="K763" s="95"/>
      <c r="L763" s="95"/>
      <c r="M763" s="104"/>
      <c r="N763" s="95"/>
      <c r="O763" s="95"/>
      <c r="P763" s="95"/>
      <c r="Q763" s="95"/>
      <c r="R763" s="95"/>
      <c r="S763" s="95"/>
      <c r="T763" s="95"/>
      <c r="U763" s="95"/>
      <c r="V763" s="95"/>
      <c r="W763" s="95"/>
      <c r="X763" s="95"/>
      <c r="Y763" s="95"/>
      <c r="Z763" s="95"/>
      <c r="AA763" s="95"/>
      <c r="AB763" s="95"/>
      <c r="AC763" s="95"/>
    </row>
    <row r="764" ht="15.75" customHeight="1" spans="1:29">
      <c r="A764" s="95"/>
      <c r="B764" s="95"/>
      <c r="C764" s="102"/>
      <c r="D764" s="95"/>
      <c r="E764" s="95"/>
      <c r="F764" s="95"/>
      <c r="G764" s="95"/>
      <c r="H764" s="95"/>
      <c r="I764" s="95"/>
      <c r="J764" s="103"/>
      <c r="K764" s="95"/>
      <c r="L764" s="95"/>
      <c r="M764" s="104"/>
      <c r="N764" s="95"/>
      <c r="O764" s="95"/>
      <c r="P764" s="95"/>
      <c r="Q764" s="95"/>
      <c r="R764" s="95"/>
      <c r="S764" s="95"/>
      <c r="T764" s="95"/>
      <c r="U764" s="95"/>
      <c r="V764" s="95"/>
      <c r="W764" s="95"/>
      <c r="X764" s="95"/>
      <c r="Y764" s="95"/>
      <c r="Z764" s="95"/>
      <c r="AA764" s="95"/>
      <c r="AB764" s="95"/>
      <c r="AC764" s="95"/>
    </row>
    <row r="765" ht="15.75" customHeight="1" spans="1:29">
      <c r="A765" s="95"/>
      <c r="B765" s="95"/>
      <c r="C765" s="102"/>
      <c r="D765" s="95"/>
      <c r="E765" s="95"/>
      <c r="F765" s="95"/>
      <c r="G765" s="95"/>
      <c r="H765" s="95"/>
      <c r="I765" s="95"/>
      <c r="J765" s="103"/>
      <c r="K765" s="95"/>
      <c r="L765" s="95"/>
      <c r="M765" s="104"/>
      <c r="N765" s="95"/>
      <c r="O765" s="95"/>
      <c r="P765" s="95"/>
      <c r="Q765" s="95"/>
      <c r="R765" s="95"/>
      <c r="S765" s="95"/>
      <c r="T765" s="95"/>
      <c r="U765" s="95"/>
      <c r="V765" s="95"/>
      <c r="W765" s="95"/>
      <c r="X765" s="95"/>
      <c r="Y765" s="95"/>
      <c r="Z765" s="95"/>
      <c r="AA765" s="95"/>
      <c r="AB765" s="95"/>
      <c r="AC765" s="95"/>
    </row>
    <row r="766" ht="15.75" customHeight="1" spans="1:29">
      <c r="A766" s="95"/>
      <c r="B766" s="95"/>
      <c r="C766" s="102"/>
      <c r="D766" s="95"/>
      <c r="E766" s="95"/>
      <c r="F766" s="95"/>
      <c r="G766" s="95"/>
      <c r="H766" s="95"/>
      <c r="I766" s="95"/>
      <c r="J766" s="105"/>
      <c r="K766" s="95"/>
      <c r="L766" s="95"/>
      <c r="M766" s="104"/>
      <c r="N766" s="95"/>
      <c r="O766" s="95"/>
      <c r="P766" s="95"/>
      <c r="Q766" s="95"/>
      <c r="R766" s="95"/>
      <c r="S766" s="95"/>
      <c r="T766" s="95"/>
      <c r="U766" s="95"/>
      <c r="V766" s="95"/>
      <c r="W766" s="95"/>
      <c r="X766" s="95"/>
      <c r="Y766" s="95"/>
      <c r="Z766" s="95"/>
      <c r="AA766" s="95"/>
      <c r="AB766" s="95"/>
      <c r="AC766" s="95"/>
    </row>
    <row r="767" ht="15.75" customHeight="1" spans="1:29">
      <c r="A767" s="95"/>
      <c r="B767" s="95"/>
      <c r="C767" s="102"/>
      <c r="D767" s="95"/>
      <c r="E767" s="95"/>
      <c r="F767" s="95"/>
      <c r="G767" s="95"/>
      <c r="H767" s="95"/>
      <c r="I767" s="95"/>
      <c r="J767" s="105"/>
      <c r="K767" s="95"/>
      <c r="L767" s="95"/>
      <c r="M767" s="104"/>
      <c r="N767" s="95"/>
      <c r="O767" s="95"/>
      <c r="P767" s="95"/>
      <c r="Q767" s="95"/>
      <c r="R767" s="95"/>
      <c r="S767" s="95"/>
      <c r="T767" s="95"/>
      <c r="U767" s="95"/>
      <c r="V767" s="95"/>
      <c r="W767" s="95"/>
      <c r="X767" s="95"/>
      <c r="Y767" s="95"/>
      <c r="Z767" s="95"/>
      <c r="AA767" s="95"/>
      <c r="AB767" s="95"/>
      <c r="AC767" s="95"/>
    </row>
    <row r="768" ht="15.75" customHeight="1" spans="1:29">
      <c r="A768" s="95"/>
      <c r="B768" s="95"/>
      <c r="C768" s="102"/>
      <c r="D768" s="95"/>
      <c r="E768" s="95"/>
      <c r="F768" s="95"/>
      <c r="G768" s="95"/>
      <c r="H768" s="95"/>
      <c r="I768" s="95"/>
      <c r="J768" s="105"/>
      <c r="K768" s="95"/>
      <c r="L768" s="95"/>
      <c r="M768" s="104"/>
      <c r="N768" s="95"/>
      <c r="O768" s="95"/>
      <c r="P768" s="95"/>
      <c r="Q768" s="95"/>
      <c r="R768" s="95"/>
      <c r="S768" s="95"/>
      <c r="T768" s="95"/>
      <c r="U768" s="95"/>
      <c r="V768" s="95"/>
      <c r="W768" s="95"/>
      <c r="X768" s="95"/>
      <c r="Y768" s="95"/>
      <c r="Z768" s="95"/>
      <c r="AA768" s="95"/>
      <c r="AB768" s="95"/>
      <c r="AC768" s="95"/>
    </row>
    <row r="769" ht="15.75" customHeight="1" spans="1:29">
      <c r="A769" s="95"/>
      <c r="B769" s="95"/>
      <c r="C769" s="102"/>
      <c r="D769" s="95"/>
      <c r="E769" s="95"/>
      <c r="F769" s="95"/>
      <c r="G769" s="95"/>
      <c r="H769" s="95"/>
      <c r="I769" s="95"/>
      <c r="J769" s="105"/>
      <c r="K769" s="95"/>
      <c r="L769" s="95"/>
      <c r="M769" s="104"/>
      <c r="N769" s="95"/>
      <c r="O769" s="95"/>
      <c r="P769" s="95"/>
      <c r="Q769" s="95"/>
      <c r="R769" s="95"/>
      <c r="S769" s="95"/>
      <c r="T769" s="95"/>
      <c r="U769" s="95"/>
      <c r="V769" s="95"/>
      <c r="W769" s="95"/>
      <c r="X769" s="95"/>
      <c r="Y769" s="95"/>
      <c r="Z769" s="95"/>
      <c r="AA769" s="95"/>
      <c r="AB769" s="95"/>
      <c r="AC769" s="95"/>
    </row>
    <row r="770" ht="15.75" customHeight="1" spans="1:29">
      <c r="A770" s="95"/>
      <c r="B770" s="95"/>
      <c r="C770" s="102"/>
      <c r="D770" s="95"/>
      <c r="E770" s="95"/>
      <c r="F770" s="95"/>
      <c r="G770" s="95"/>
      <c r="H770" s="95"/>
      <c r="I770" s="95"/>
      <c r="J770" s="105"/>
      <c r="K770" s="95"/>
      <c r="L770" s="95"/>
      <c r="M770" s="104"/>
      <c r="N770" s="95"/>
      <c r="O770" s="95"/>
      <c r="P770" s="95"/>
      <c r="Q770" s="95"/>
      <c r="R770" s="95"/>
      <c r="S770" s="95"/>
      <c r="T770" s="95"/>
      <c r="U770" s="95"/>
      <c r="V770" s="95"/>
      <c r="W770" s="95"/>
      <c r="X770" s="95"/>
      <c r="Y770" s="95"/>
      <c r="Z770" s="95"/>
      <c r="AA770" s="95"/>
      <c r="AB770" s="95"/>
      <c r="AC770" s="95"/>
    </row>
    <row r="771" ht="15.75" customHeight="1" spans="1:29">
      <c r="A771" s="95"/>
      <c r="B771" s="95"/>
      <c r="C771" s="102"/>
      <c r="D771" s="95"/>
      <c r="E771" s="95"/>
      <c r="F771" s="95"/>
      <c r="G771" s="95"/>
      <c r="H771" s="95"/>
      <c r="I771" s="95"/>
      <c r="J771" s="105"/>
      <c r="K771" s="95"/>
      <c r="L771" s="95"/>
      <c r="M771" s="106"/>
      <c r="N771" s="95"/>
      <c r="O771" s="95"/>
      <c r="P771" s="95"/>
      <c r="Q771" s="95"/>
      <c r="R771" s="95"/>
      <c r="S771" s="95"/>
      <c r="T771" s="95"/>
      <c r="U771" s="95"/>
      <c r="V771" s="95"/>
      <c r="W771" s="95"/>
      <c r="X771" s="95"/>
      <c r="Y771" s="95"/>
      <c r="Z771" s="95"/>
      <c r="AA771" s="95"/>
      <c r="AB771" s="95"/>
      <c r="AC771" s="95"/>
    </row>
    <row r="772" ht="15.75" customHeight="1" spans="1:29">
      <c r="A772" s="95"/>
      <c r="B772" s="95"/>
      <c r="C772" s="102"/>
      <c r="D772" s="95"/>
      <c r="E772" s="95"/>
      <c r="F772" s="95"/>
      <c r="G772" s="95"/>
      <c r="H772" s="95"/>
      <c r="I772" s="95"/>
      <c r="J772" s="103"/>
      <c r="K772" s="95"/>
      <c r="L772" s="95"/>
      <c r="M772" s="104"/>
      <c r="N772" s="95"/>
      <c r="O772" s="95"/>
      <c r="P772" s="95"/>
      <c r="Q772" s="95"/>
      <c r="R772" s="95"/>
      <c r="S772" s="95"/>
      <c r="T772" s="95"/>
      <c r="U772" s="95"/>
      <c r="V772" s="95"/>
      <c r="W772" s="95"/>
      <c r="X772" s="95"/>
      <c r="Y772" s="95"/>
      <c r="Z772" s="95"/>
      <c r="AA772" s="95"/>
      <c r="AB772" s="95"/>
      <c r="AC772" s="95"/>
    </row>
    <row r="773" ht="15.75" customHeight="1" spans="1:29">
      <c r="A773" s="95"/>
      <c r="B773" s="95"/>
      <c r="C773" s="102"/>
      <c r="D773" s="95"/>
      <c r="E773" s="95"/>
      <c r="F773" s="95"/>
      <c r="G773" s="95"/>
      <c r="H773" s="95"/>
      <c r="I773" s="95"/>
      <c r="J773" s="105"/>
      <c r="K773" s="95"/>
      <c r="L773" s="95"/>
      <c r="M773" s="104"/>
      <c r="N773" s="95"/>
      <c r="O773" s="95"/>
      <c r="P773" s="95"/>
      <c r="Q773" s="95"/>
      <c r="R773" s="95"/>
      <c r="S773" s="95"/>
      <c r="T773" s="95"/>
      <c r="U773" s="95"/>
      <c r="V773" s="95"/>
      <c r="W773" s="95"/>
      <c r="X773" s="95"/>
      <c r="Y773" s="95"/>
      <c r="Z773" s="95"/>
      <c r="AA773" s="95"/>
      <c r="AB773" s="95"/>
      <c r="AC773" s="95"/>
    </row>
    <row r="774" ht="15.75" customHeight="1" spans="1:29">
      <c r="A774" s="95"/>
      <c r="B774" s="95"/>
      <c r="C774" s="102"/>
      <c r="D774" s="95"/>
      <c r="E774" s="95"/>
      <c r="F774" s="95"/>
      <c r="G774" s="95"/>
      <c r="H774" s="95"/>
      <c r="I774" s="95"/>
      <c r="J774" s="105"/>
      <c r="K774" s="95"/>
      <c r="L774" s="95"/>
      <c r="M774" s="104"/>
      <c r="N774" s="95"/>
      <c r="O774" s="95"/>
      <c r="P774" s="95"/>
      <c r="Q774" s="95"/>
      <c r="R774" s="95"/>
      <c r="S774" s="95"/>
      <c r="T774" s="95"/>
      <c r="U774" s="95"/>
      <c r="V774" s="95"/>
      <c r="W774" s="95"/>
      <c r="X774" s="95"/>
      <c r="Y774" s="95"/>
      <c r="Z774" s="95"/>
      <c r="AA774" s="95"/>
      <c r="AB774" s="95"/>
      <c r="AC774" s="95"/>
    </row>
    <row r="775" ht="15.75" customHeight="1" spans="1:29">
      <c r="A775" s="95"/>
      <c r="B775" s="95"/>
      <c r="C775" s="102"/>
      <c r="D775" s="95"/>
      <c r="E775" s="95"/>
      <c r="F775" s="95"/>
      <c r="G775" s="95"/>
      <c r="H775" s="95"/>
      <c r="I775" s="95"/>
      <c r="J775" s="105"/>
      <c r="K775" s="95"/>
      <c r="L775" s="95"/>
      <c r="M775" s="104"/>
      <c r="N775" s="95"/>
      <c r="O775" s="95"/>
      <c r="P775" s="95"/>
      <c r="Q775" s="95"/>
      <c r="R775" s="95"/>
      <c r="S775" s="95"/>
      <c r="T775" s="95"/>
      <c r="U775" s="95"/>
      <c r="V775" s="95"/>
      <c r="W775" s="95"/>
      <c r="X775" s="95"/>
      <c r="Y775" s="95"/>
      <c r="Z775" s="95"/>
      <c r="AA775" s="95"/>
      <c r="AB775" s="95"/>
      <c r="AC775" s="95"/>
    </row>
    <row r="776" ht="15.75" customHeight="1" spans="1:29">
      <c r="A776" s="95"/>
      <c r="B776" s="95"/>
      <c r="C776" s="102"/>
      <c r="D776" s="95"/>
      <c r="E776" s="95"/>
      <c r="F776" s="95"/>
      <c r="G776" s="95"/>
      <c r="H776" s="95"/>
      <c r="I776" s="95"/>
      <c r="J776" s="105"/>
      <c r="K776" s="95"/>
      <c r="L776" s="95"/>
      <c r="M776" s="104"/>
      <c r="N776" s="95"/>
      <c r="O776" s="95"/>
      <c r="P776" s="95"/>
      <c r="Q776" s="95"/>
      <c r="R776" s="95"/>
      <c r="S776" s="95"/>
      <c r="T776" s="95"/>
      <c r="U776" s="95"/>
      <c r="V776" s="95"/>
      <c r="W776" s="95"/>
      <c r="X776" s="95"/>
      <c r="Y776" s="95"/>
      <c r="Z776" s="95"/>
      <c r="AA776" s="95"/>
      <c r="AB776" s="95"/>
      <c r="AC776" s="95"/>
    </row>
    <row r="777" ht="15.75" customHeight="1" spans="1:29">
      <c r="A777" s="95"/>
      <c r="B777" s="95"/>
      <c r="C777" s="102"/>
      <c r="D777" s="95"/>
      <c r="E777" s="95"/>
      <c r="F777" s="95"/>
      <c r="G777" s="95"/>
      <c r="H777" s="95"/>
      <c r="I777" s="95"/>
      <c r="J777" s="105"/>
      <c r="K777" s="95"/>
      <c r="L777" s="95"/>
      <c r="M777" s="104"/>
      <c r="N777" s="95"/>
      <c r="O777" s="95"/>
      <c r="P777" s="95"/>
      <c r="Q777" s="95"/>
      <c r="R777" s="95"/>
      <c r="S777" s="95"/>
      <c r="T777" s="95"/>
      <c r="U777" s="95"/>
      <c r="V777" s="95"/>
      <c r="W777" s="95"/>
      <c r="X777" s="95"/>
      <c r="Y777" s="95"/>
      <c r="Z777" s="95"/>
      <c r="AA777" s="95"/>
      <c r="AB777" s="95"/>
      <c r="AC777" s="95"/>
    </row>
    <row r="778" ht="15.75" customHeight="1" spans="1:29">
      <c r="A778" s="95"/>
      <c r="B778" s="95"/>
      <c r="C778" s="102"/>
      <c r="D778" s="95"/>
      <c r="E778" s="95"/>
      <c r="F778" s="95"/>
      <c r="G778" s="95"/>
      <c r="H778" s="95"/>
      <c r="I778" s="95"/>
      <c r="J778" s="105"/>
      <c r="K778" s="95"/>
      <c r="L778" s="95"/>
      <c r="M778" s="104"/>
      <c r="N778" s="95"/>
      <c r="O778" s="95"/>
      <c r="P778" s="95"/>
      <c r="Q778" s="95"/>
      <c r="R778" s="95"/>
      <c r="S778" s="95"/>
      <c r="T778" s="95"/>
      <c r="U778" s="95"/>
      <c r="V778" s="95"/>
      <c r="W778" s="95"/>
      <c r="X778" s="95"/>
      <c r="Y778" s="95"/>
      <c r="Z778" s="95"/>
      <c r="AA778" s="95"/>
      <c r="AB778" s="95"/>
      <c r="AC778" s="95"/>
    </row>
    <row r="779" ht="15.75" customHeight="1" spans="1:29">
      <c r="A779" s="95"/>
      <c r="B779" s="95"/>
      <c r="C779" s="102"/>
      <c r="D779" s="95"/>
      <c r="E779" s="95"/>
      <c r="F779" s="95"/>
      <c r="G779" s="95"/>
      <c r="H779" s="95"/>
      <c r="I779" s="95"/>
      <c r="J779" s="105"/>
      <c r="K779" s="95"/>
      <c r="L779" s="95"/>
      <c r="M779" s="104"/>
      <c r="N779" s="95"/>
      <c r="O779" s="95"/>
      <c r="P779" s="95"/>
      <c r="Q779" s="95"/>
      <c r="R779" s="95"/>
      <c r="S779" s="95"/>
      <c r="T779" s="95"/>
      <c r="U779" s="95"/>
      <c r="V779" s="95"/>
      <c r="W779" s="95"/>
      <c r="X779" s="95"/>
      <c r="Y779" s="95"/>
      <c r="Z779" s="95"/>
      <c r="AA779" s="95"/>
      <c r="AB779" s="95"/>
      <c r="AC779" s="95"/>
    </row>
    <row r="780" ht="15.75" customHeight="1" spans="1:29">
      <c r="A780" s="95"/>
      <c r="B780" s="95"/>
      <c r="C780" s="102"/>
      <c r="D780" s="95"/>
      <c r="E780" s="95"/>
      <c r="F780" s="95"/>
      <c r="G780" s="95"/>
      <c r="H780" s="95"/>
      <c r="I780" s="95"/>
      <c r="J780" s="103"/>
      <c r="K780" s="95"/>
      <c r="L780" s="95"/>
      <c r="M780" s="104"/>
      <c r="N780" s="95"/>
      <c r="O780" s="95"/>
      <c r="P780" s="95"/>
      <c r="Q780" s="95"/>
      <c r="R780" s="95"/>
      <c r="S780" s="95"/>
      <c r="T780" s="95"/>
      <c r="U780" s="95"/>
      <c r="V780" s="95"/>
      <c r="W780" s="95"/>
      <c r="X780" s="95"/>
      <c r="Y780" s="95"/>
      <c r="Z780" s="95"/>
      <c r="AA780" s="95"/>
      <c r="AB780" s="95"/>
      <c r="AC780" s="95"/>
    </row>
    <row r="781" ht="15.75" customHeight="1" spans="1:29">
      <c r="A781" s="95"/>
      <c r="B781" s="95"/>
      <c r="C781" s="102"/>
      <c r="D781" s="95"/>
      <c r="E781" s="95"/>
      <c r="F781" s="95"/>
      <c r="G781" s="95"/>
      <c r="H781" s="95"/>
      <c r="I781" s="95"/>
      <c r="J781" s="103"/>
      <c r="K781" s="95"/>
      <c r="L781" s="95"/>
      <c r="M781" s="104"/>
      <c r="N781" s="95"/>
      <c r="O781" s="95"/>
      <c r="P781" s="95"/>
      <c r="Q781" s="95"/>
      <c r="R781" s="95"/>
      <c r="S781" s="95"/>
      <c r="T781" s="95"/>
      <c r="U781" s="95"/>
      <c r="V781" s="95"/>
      <c r="W781" s="95"/>
      <c r="X781" s="95"/>
      <c r="Y781" s="95"/>
      <c r="Z781" s="95"/>
      <c r="AA781" s="95"/>
      <c r="AB781" s="95"/>
      <c r="AC781" s="95"/>
    </row>
    <row r="782" ht="15.75" customHeight="1" spans="1:29">
      <c r="A782" s="95"/>
      <c r="B782" s="95"/>
      <c r="C782" s="102"/>
      <c r="D782" s="95"/>
      <c r="E782" s="95"/>
      <c r="F782" s="95"/>
      <c r="G782" s="95"/>
      <c r="H782" s="95"/>
      <c r="I782" s="95"/>
      <c r="J782" s="103"/>
      <c r="K782" s="95"/>
      <c r="L782" s="95"/>
      <c r="M782" s="104"/>
      <c r="N782" s="95"/>
      <c r="O782" s="95"/>
      <c r="P782" s="95"/>
      <c r="Q782" s="95"/>
      <c r="R782" s="95"/>
      <c r="S782" s="95"/>
      <c r="T782" s="95"/>
      <c r="U782" s="95"/>
      <c r="V782" s="95"/>
      <c r="W782" s="95"/>
      <c r="X782" s="95"/>
      <c r="Y782" s="95"/>
      <c r="Z782" s="95"/>
      <c r="AA782" s="95"/>
      <c r="AB782" s="95"/>
      <c r="AC782" s="95"/>
    </row>
    <row r="783" ht="15.75" customHeight="1" spans="1:29">
      <c r="A783" s="95"/>
      <c r="B783" s="95"/>
      <c r="C783" s="102"/>
      <c r="D783" s="95"/>
      <c r="E783" s="95"/>
      <c r="F783" s="95"/>
      <c r="G783" s="95"/>
      <c r="H783" s="95"/>
      <c r="I783" s="95"/>
      <c r="J783" s="103"/>
      <c r="K783" s="95"/>
      <c r="L783" s="95"/>
      <c r="M783" s="104"/>
      <c r="N783" s="95"/>
      <c r="O783" s="95"/>
      <c r="P783" s="95"/>
      <c r="Q783" s="95"/>
      <c r="R783" s="95"/>
      <c r="S783" s="95"/>
      <c r="T783" s="95"/>
      <c r="U783" s="95"/>
      <c r="V783" s="95"/>
      <c r="W783" s="95"/>
      <c r="X783" s="95"/>
      <c r="Y783" s="95"/>
      <c r="Z783" s="95"/>
      <c r="AA783" s="95"/>
      <c r="AB783" s="95"/>
      <c r="AC783" s="95"/>
    </row>
    <row r="784" ht="15.75" customHeight="1" spans="1:29">
      <c r="A784" s="95"/>
      <c r="B784" s="95"/>
      <c r="C784" s="102"/>
      <c r="D784" s="95"/>
      <c r="E784" s="95"/>
      <c r="F784" s="95"/>
      <c r="G784" s="95"/>
      <c r="H784" s="95"/>
      <c r="I784" s="95"/>
      <c r="J784" s="103"/>
      <c r="K784" s="95"/>
      <c r="L784" s="95"/>
      <c r="M784" s="104"/>
      <c r="N784" s="95"/>
      <c r="O784" s="95"/>
      <c r="P784" s="95"/>
      <c r="Q784" s="95"/>
      <c r="R784" s="95"/>
      <c r="S784" s="95"/>
      <c r="T784" s="95"/>
      <c r="U784" s="95"/>
      <c r="V784" s="95"/>
      <c r="W784" s="95"/>
      <c r="X784" s="95"/>
      <c r="Y784" s="95"/>
      <c r="Z784" s="95"/>
      <c r="AA784" s="95"/>
      <c r="AB784" s="95"/>
      <c r="AC784" s="95"/>
    </row>
    <row r="785" ht="15.75" customHeight="1" spans="1:29">
      <c r="A785" s="95"/>
      <c r="B785" s="95"/>
      <c r="C785" s="102"/>
      <c r="D785" s="95"/>
      <c r="E785" s="95"/>
      <c r="F785" s="95"/>
      <c r="G785" s="95"/>
      <c r="H785" s="95"/>
      <c r="I785" s="95"/>
      <c r="J785" s="105"/>
      <c r="K785" s="95"/>
      <c r="L785" s="95"/>
      <c r="M785" s="104"/>
      <c r="N785" s="95"/>
      <c r="O785" s="95"/>
      <c r="P785" s="95"/>
      <c r="Q785" s="95"/>
      <c r="R785" s="95"/>
      <c r="S785" s="95"/>
      <c r="T785" s="95"/>
      <c r="U785" s="95"/>
      <c r="V785" s="95"/>
      <c r="W785" s="95"/>
      <c r="X785" s="95"/>
      <c r="Y785" s="95"/>
      <c r="Z785" s="95"/>
      <c r="AA785" s="95"/>
      <c r="AB785" s="95"/>
      <c r="AC785" s="95"/>
    </row>
    <row r="786" ht="15.75" customHeight="1" spans="1:29">
      <c r="A786" s="95"/>
      <c r="B786" s="95"/>
      <c r="C786" s="102"/>
      <c r="D786" s="95"/>
      <c r="E786" s="95"/>
      <c r="F786" s="95"/>
      <c r="G786" s="95"/>
      <c r="H786" s="95"/>
      <c r="I786" s="95"/>
      <c r="J786" s="105"/>
      <c r="K786" s="95"/>
      <c r="L786" s="95"/>
      <c r="M786" s="104"/>
      <c r="N786" s="95"/>
      <c r="O786" s="95"/>
      <c r="P786" s="95"/>
      <c r="Q786" s="95"/>
      <c r="R786" s="95"/>
      <c r="S786" s="95"/>
      <c r="T786" s="95"/>
      <c r="U786" s="95"/>
      <c r="V786" s="95"/>
      <c r="W786" s="95"/>
      <c r="X786" s="95"/>
      <c r="Y786" s="95"/>
      <c r="Z786" s="95"/>
      <c r="AA786" s="95"/>
      <c r="AB786" s="95"/>
      <c r="AC786" s="95"/>
    </row>
    <row r="787" ht="15.75" customHeight="1" spans="1:29">
      <c r="A787" s="95"/>
      <c r="B787" s="95"/>
      <c r="C787" s="102"/>
      <c r="D787" s="95"/>
      <c r="E787" s="95"/>
      <c r="F787" s="95"/>
      <c r="G787" s="95"/>
      <c r="H787" s="95"/>
      <c r="I787" s="95"/>
      <c r="J787" s="105"/>
      <c r="K787" s="95"/>
      <c r="L787" s="95"/>
      <c r="M787" s="104"/>
      <c r="N787" s="95"/>
      <c r="O787" s="95"/>
      <c r="P787" s="95"/>
      <c r="Q787" s="95"/>
      <c r="R787" s="95"/>
      <c r="S787" s="95"/>
      <c r="T787" s="95"/>
      <c r="U787" s="95"/>
      <c r="V787" s="95"/>
      <c r="W787" s="95"/>
      <c r="X787" s="95"/>
      <c r="Y787" s="95"/>
      <c r="Z787" s="95"/>
      <c r="AA787" s="95"/>
      <c r="AB787" s="95"/>
      <c r="AC787" s="95"/>
    </row>
    <row r="788" ht="15.75" customHeight="1" spans="1:29">
      <c r="A788" s="95"/>
      <c r="B788" s="95"/>
      <c r="C788" s="102"/>
      <c r="D788" s="95"/>
      <c r="E788" s="95"/>
      <c r="F788" s="95"/>
      <c r="G788" s="95"/>
      <c r="H788" s="95"/>
      <c r="I788" s="95"/>
      <c r="J788" s="105"/>
      <c r="K788" s="95"/>
      <c r="L788" s="95"/>
      <c r="M788" s="104"/>
      <c r="N788" s="95"/>
      <c r="O788" s="95"/>
      <c r="P788" s="95"/>
      <c r="Q788" s="95"/>
      <c r="R788" s="95"/>
      <c r="S788" s="95"/>
      <c r="T788" s="95"/>
      <c r="U788" s="95"/>
      <c r="V788" s="95"/>
      <c r="W788" s="95"/>
      <c r="X788" s="95"/>
      <c r="Y788" s="95"/>
      <c r="Z788" s="95"/>
      <c r="AA788" s="95"/>
      <c r="AB788" s="95"/>
      <c r="AC788" s="95"/>
    </row>
    <row r="789" ht="15.75" customHeight="1" spans="1:29">
      <c r="A789" s="95"/>
      <c r="B789" s="95"/>
      <c r="C789" s="102"/>
      <c r="D789" s="95"/>
      <c r="E789" s="95"/>
      <c r="F789" s="95"/>
      <c r="G789" s="95"/>
      <c r="H789" s="95"/>
      <c r="I789" s="95"/>
      <c r="J789" s="105"/>
      <c r="K789" s="95"/>
      <c r="L789" s="95"/>
      <c r="M789" s="104"/>
      <c r="N789" s="95"/>
      <c r="O789" s="95"/>
      <c r="P789" s="95"/>
      <c r="Q789" s="95"/>
      <c r="R789" s="95"/>
      <c r="S789" s="95"/>
      <c r="T789" s="95"/>
      <c r="U789" s="95"/>
      <c r="V789" s="95"/>
      <c r="W789" s="95"/>
      <c r="X789" s="95"/>
      <c r="Y789" s="95"/>
      <c r="Z789" s="95"/>
      <c r="AA789" s="95"/>
      <c r="AB789" s="95"/>
      <c r="AC789" s="95"/>
    </row>
    <row r="790" ht="15.75" customHeight="1" spans="1:29">
      <c r="A790" s="95"/>
      <c r="B790" s="95"/>
      <c r="C790" s="102"/>
      <c r="D790" s="95"/>
      <c r="E790" s="95"/>
      <c r="F790" s="95"/>
      <c r="G790" s="95"/>
      <c r="H790" s="95"/>
      <c r="I790" s="95"/>
      <c r="J790" s="105"/>
      <c r="K790" s="95"/>
      <c r="L790" s="95"/>
      <c r="M790" s="104"/>
      <c r="N790" s="95"/>
      <c r="O790" s="95"/>
      <c r="P790" s="95"/>
      <c r="Q790" s="95"/>
      <c r="R790" s="95"/>
      <c r="S790" s="95"/>
      <c r="T790" s="95"/>
      <c r="U790" s="95"/>
      <c r="V790" s="95"/>
      <c r="W790" s="95"/>
      <c r="X790" s="95"/>
      <c r="Y790" s="95"/>
      <c r="Z790" s="95"/>
      <c r="AA790" s="95"/>
      <c r="AB790" s="95"/>
      <c r="AC790" s="95"/>
    </row>
    <row r="791" ht="15.75" customHeight="1" spans="1:29">
      <c r="A791" s="95"/>
      <c r="B791" s="95"/>
      <c r="C791" s="102"/>
      <c r="D791" s="95"/>
      <c r="E791" s="95"/>
      <c r="F791" s="95"/>
      <c r="G791" s="95"/>
      <c r="H791" s="95"/>
      <c r="I791" s="95"/>
      <c r="J791" s="105"/>
      <c r="K791" s="95"/>
      <c r="L791" s="95"/>
      <c r="M791" s="104"/>
      <c r="N791" s="95"/>
      <c r="O791" s="95"/>
      <c r="P791" s="95"/>
      <c r="Q791" s="95"/>
      <c r="R791" s="95"/>
      <c r="S791" s="95"/>
      <c r="T791" s="95"/>
      <c r="U791" s="95"/>
      <c r="V791" s="95"/>
      <c r="W791" s="95"/>
      <c r="X791" s="95"/>
      <c r="Y791" s="95"/>
      <c r="Z791" s="95"/>
      <c r="AA791" s="95"/>
      <c r="AB791" s="95"/>
      <c r="AC791" s="95"/>
    </row>
    <row r="792" ht="15.75" customHeight="1" spans="1:29">
      <c r="A792" s="95"/>
      <c r="B792" s="95"/>
      <c r="C792" s="102"/>
      <c r="D792" s="95"/>
      <c r="E792" s="95"/>
      <c r="F792" s="95"/>
      <c r="G792" s="95"/>
      <c r="H792" s="95"/>
      <c r="I792" s="95"/>
      <c r="J792" s="105"/>
      <c r="K792" s="95"/>
      <c r="L792" s="95"/>
      <c r="M792" s="106"/>
      <c r="N792" s="95"/>
      <c r="O792" s="95"/>
      <c r="P792" s="95"/>
      <c r="Q792" s="95"/>
      <c r="R792" s="95"/>
      <c r="S792" s="95"/>
      <c r="T792" s="95"/>
      <c r="U792" s="95"/>
      <c r="V792" s="95"/>
      <c r="W792" s="95"/>
      <c r="X792" s="95"/>
      <c r="Y792" s="95"/>
      <c r="Z792" s="95"/>
      <c r="AA792" s="95"/>
      <c r="AB792" s="95"/>
      <c r="AC792" s="95"/>
    </row>
    <row r="793" ht="15.75" customHeight="1" spans="1:29">
      <c r="A793" s="95"/>
      <c r="B793" s="95"/>
      <c r="C793" s="102"/>
      <c r="D793" s="95"/>
      <c r="E793" s="95"/>
      <c r="F793" s="95"/>
      <c r="G793" s="95"/>
      <c r="H793" s="95"/>
      <c r="I793" s="95"/>
      <c r="J793" s="105"/>
      <c r="K793" s="95"/>
      <c r="L793" s="95"/>
      <c r="M793" s="106"/>
      <c r="N793" s="95"/>
      <c r="O793" s="95"/>
      <c r="P793" s="95"/>
      <c r="Q793" s="95"/>
      <c r="R793" s="95"/>
      <c r="S793" s="95"/>
      <c r="T793" s="95"/>
      <c r="U793" s="95"/>
      <c r="V793" s="95"/>
      <c r="W793" s="95"/>
      <c r="X793" s="95"/>
      <c r="Y793" s="95"/>
      <c r="Z793" s="95"/>
      <c r="AA793" s="95"/>
      <c r="AB793" s="95"/>
      <c r="AC793" s="95"/>
    </row>
    <row r="794" ht="15.75" customHeight="1" spans="1:29">
      <c r="A794" s="95"/>
      <c r="B794" s="95"/>
      <c r="C794" s="102"/>
      <c r="D794" s="95"/>
      <c r="E794" s="95"/>
      <c r="F794" s="95"/>
      <c r="G794" s="95"/>
      <c r="H794" s="95"/>
      <c r="I794" s="95"/>
      <c r="J794" s="105"/>
      <c r="K794" s="95"/>
      <c r="L794" s="95"/>
      <c r="M794" s="106"/>
      <c r="N794" s="95"/>
      <c r="O794" s="95"/>
      <c r="P794" s="95"/>
      <c r="Q794" s="95"/>
      <c r="R794" s="95"/>
      <c r="S794" s="95"/>
      <c r="T794" s="95"/>
      <c r="U794" s="95"/>
      <c r="V794" s="95"/>
      <c r="W794" s="95"/>
      <c r="X794" s="95"/>
      <c r="Y794" s="95"/>
      <c r="Z794" s="95"/>
      <c r="AA794" s="95"/>
      <c r="AB794" s="95"/>
      <c r="AC794" s="95"/>
    </row>
    <row r="795" ht="15.75" customHeight="1" spans="1:29">
      <c r="A795" s="95"/>
      <c r="B795" s="95"/>
      <c r="C795" s="102"/>
      <c r="D795" s="95"/>
      <c r="E795" s="95"/>
      <c r="F795" s="95"/>
      <c r="G795" s="95"/>
      <c r="H795" s="95"/>
      <c r="I795" s="95"/>
      <c r="J795" s="105"/>
      <c r="K795" s="95"/>
      <c r="L795" s="95"/>
      <c r="M795" s="104"/>
      <c r="N795" s="95"/>
      <c r="O795" s="95"/>
      <c r="P795" s="95"/>
      <c r="Q795" s="95"/>
      <c r="R795" s="95"/>
      <c r="S795" s="95"/>
      <c r="T795" s="95"/>
      <c r="U795" s="95"/>
      <c r="V795" s="95"/>
      <c r="W795" s="95"/>
      <c r="X795" s="95"/>
      <c r="Y795" s="95"/>
      <c r="Z795" s="95"/>
      <c r="AA795" s="95"/>
      <c r="AB795" s="95"/>
      <c r="AC795" s="95"/>
    </row>
    <row r="796" ht="15.75" customHeight="1" spans="1:29">
      <c r="A796" s="95"/>
      <c r="B796" s="95"/>
      <c r="C796" s="102"/>
      <c r="D796" s="95"/>
      <c r="E796" s="95"/>
      <c r="F796" s="95"/>
      <c r="G796" s="95"/>
      <c r="H796" s="95"/>
      <c r="I796" s="95"/>
      <c r="J796" s="105"/>
      <c r="K796" s="95"/>
      <c r="L796" s="95"/>
      <c r="M796" s="104"/>
      <c r="N796" s="95"/>
      <c r="O796" s="95"/>
      <c r="P796" s="95"/>
      <c r="Q796" s="95"/>
      <c r="R796" s="95"/>
      <c r="S796" s="95"/>
      <c r="T796" s="95"/>
      <c r="U796" s="95"/>
      <c r="V796" s="95"/>
      <c r="W796" s="95"/>
      <c r="X796" s="95"/>
      <c r="Y796" s="95"/>
      <c r="Z796" s="95"/>
      <c r="AA796" s="95"/>
      <c r="AB796" s="95"/>
      <c r="AC796" s="95"/>
    </row>
    <row r="797" ht="15.75" customHeight="1" spans="1:29">
      <c r="A797" s="95"/>
      <c r="B797" s="95"/>
      <c r="C797" s="102"/>
      <c r="D797" s="95"/>
      <c r="E797" s="95"/>
      <c r="F797" s="95"/>
      <c r="G797" s="95"/>
      <c r="H797" s="95"/>
      <c r="I797" s="95"/>
      <c r="J797" s="103"/>
      <c r="K797" s="95"/>
      <c r="L797" s="95"/>
      <c r="M797" s="104"/>
      <c r="N797" s="95"/>
      <c r="O797" s="95"/>
      <c r="P797" s="95"/>
      <c r="Q797" s="95"/>
      <c r="R797" s="95"/>
      <c r="S797" s="95"/>
      <c r="T797" s="95"/>
      <c r="U797" s="95"/>
      <c r="V797" s="95"/>
      <c r="W797" s="95"/>
      <c r="X797" s="95"/>
      <c r="Y797" s="95"/>
      <c r="Z797" s="95"/>
      <c r="AA797" s="95"/>
      <c r="AB797" s="95"/>
      <c r="AC797" s="95"/>
    </row>
    <row r="798" ht="15.75" customHeight="1" spans="1:29">
      <c r="A798" s="95"/>
      <c r="B798" s="95"/>
      <c r="C798" s="102"/>
      <c r="D798" s="95"/>
      <c r="E798" s="95"/>
      <c r="F798" s="95"/>
      <c r="G798" s="95"/>
      <c r="H798" s="95"/>
      <c r="I798" s="95"/>
      <c r="J798" s="105"/>
      <c r="K798" s="95"/>
      <c r="L798" s="95"/>
      <c r="M798" s="104"/>
      <c r="N798" s="95"/>
      <c r="O798" s="95"/>
      <c r="P798" s="95"/>
      <c r="Q798" s="95"/>
      <c r="R798" s="95"/>
      <c r="S798" s="95"/>
      <c r="T798" s="95"/>
      <c r="U798" s="95"/>
      <c r="V798" s="95"/>
      <c r="W798" s="95"/>
      <c r="X798" s="95"/>
      <c r="Y798" s="95"/>
      <c r="Z798" s="95"/>
      <c r="AA798" s="95"/>
      <c r="AB798" s="95"/>
      <c r="AC798" s="95"/>
    </row>
    <row r="799" ht="15.75" customHeight="1" spans="1:29">
      <c r="A799" s="95"/>
      <c r="B799" s="95"/>
      <c r="C799" s="102"/>
      <c r="D799" s="95"/>
      <c r="E799" s="95"/>
      <c r="F799" s="95"/>
      <c r="G799" s="95"/>
      <c r="H799" s="95"/>
      <c r="I799" s="95"/>
      <c r="J799" s="105"/>
      <c r="K799" s="95"/>
      <c r="L799" s="95"/>
      <c r="M799" s="104"/>
      <c r="N799" s="95"/>
      <c r="O799" s="95"/>
      <c r="P799" s="95"/>
      <c r="Q799" s="95"/>
      <c r="R799" s="95"/>
      <c r="S799" s="95"/>
      <c r="T799" s="95"/>
      <c r="U799" s="95"/>
      <c r="V799" s="95"/>
      <c r="W799" s="95"/>
      <c r="X799" s="95"/>
      <c r="Y799" s="95"/>
      <c r="Z799" s="95"/>
      <c r="AA799" s="95"/>
      <c r="AB799" s="95"/>
      <c r="AC799" s="95"/>
    </row>
    <row r="800" ht="15.75" customHeight="1" spans="1:29">
      <c r="A800" s="95"/>
      <c r="B800" s="95"/>
      <c r="C800" s="102"/>
      <c r="D800" s="95"/>
      <c r="E800" s="95"/>
      <c r="F800" s="95"/>
      <c r="G800" s="95"/>
      <c r="H800" s="95"/>
      <c r="I800" s="95"/>
      <c r="J800" s="105"/>
      <c r="K800" s="95"/>
      <c r="L800" s="95"/>
      <c r="M800" s="104"/>
      <c r="N800" s="95"/>
      <c r="O800" s="95"/>
      <c r="P800" s="95"/>
      <c r="Q800" s="95"/>
      <c r="R800" s="95"/>
      <c r="S800" s="95"/>
      <c r="T800" s="95"/>
      <c r="U800" s="95"/>
      <c r="V800" s="95"/>
      <c r="W800" s="95"/>
      <c r="X800" s="95"/>
      <c r="Y800" s="95"/>
      <c r="Z800" s="95"/>
      <c r="AA800" s="95"/>
      <c r="AB800" s="95"/>
      <c r="AC800" s="95"/>
    </row>
    <row r="801" ht="15.75" customHeight="1" spans="1:29">
      <c r="A801" s="95"/>
      <c r="B801" s="95"/>
      <c r="C801" s="102"/>
      <c r="D801" s="95"/>
      <c r="E801" s="95"/>
      <c r="F801" s="95"/>
      <c r="G801" s="95"/>
      <c r="H801" s="95"/>
      <c r="I801" s="95"/>
      <c r="J801" s="105"/>
      <c r="K801" s="95"/>
      <c r="L801" s="95"/>
      <c r="M801" s="104"/>
      <c r="N801" s="95"/>
      <c r="O801" s="95"/>
      <c r="P801" s="95"/>
      <c r="Q801" s="95"/>
      <c r="R801" s="95"/>
      <c r="S801" s="95"/>
      <c r="T801" s="95"/>
      <c r="U801" s="95"/>
      <c r="V801" s="95"/>
      <c r="W801" s="95"/>
      <c r="X801" s="95"/>
      <c r="Y801" s="95"/>
      <c r="Z801" s="95"/>
      <c r="AA801" s="95"/>
      <c r="AB801" s="95"/>
      <c r="AC801" s="95"/>
    </row>
    <row r="802" ht="15.75" customHeight="1" spans="1:29">
      <c r="A802" s="95"/>
      <c r="B802" s="95"/>
      <c r="C802" s="102"/>
      <c r="D802" s="95"/>
      <c r="E802" s="95"/>
      <c r="F802" s="95"/>
      <c r="G802" s="95"/>
      <c r="H802" s="95"/>
      <c r="I802" s="95"/>
      <c r="J802" s="103"/>
      <c r="K802" s="95"/>
      <c r="L802" s="95"/>
      <c r="M802" s="104"/>
      <c r="N802" s="95"/>
      <c r="O802" s="95"/>
      <c r="P802" s="95"/>
      <c r="Q802" s="95"/>
      <c r="R802" s="95"/>
      <c r="S802" s="95"/>
      <c r="T802" s="95"/>
      <c r="U802" s="95"/>
      <c r="V802" s="95"/>
      <c r="W802" s="95"/>
      <c r="X802" s="95"/>
      <c r="Y802" s="95"/>
      <c r="Z802" s="95"/>
      <c r="AA802" s="95"/>
      <c r="AB802" s="95"/>
      <c r="AC802" s="95"/>
    </row>
    <row r="803" ht="15.75" customHeight="1" spans="1:29">
      <c r="A803" s="95"/>
      <c r="B803" s="95"/>
      <c r="C803" s="102"/>
      <c r="D803" s="95"/>
      <c r="E803" s="95"/>
      <c r="F803" s="95"/>
      <c r="G803" s="95"/>
      <c r="H803" s="95"/>
      <c r="I803" s="95"/>
      <c r="J803" s="103"/>
      <c r="K803" s="95"/>
      <c r="L803" s="95"/>
      <c r="M803" s="104"/>
      <c r="N803" s="95"/>
      <c r="O803" s="95"/>
      <c r="P803" s="95"/>
      <c r="Q803" s="95"/>
      <c r="R803" s="95"/>
      <c r="S803" s="95"/>
      <c r="T803" s="95"/>
      <c r="U803" s="95"/>
      <c r="V803" s="95"/>
      <c r="W803" s="95"/>
      <c r="X803" s="95"/>
      <c r="Y803" s="95"/>
      <c r="Z803" s="95"/>
      <c r="AA803" s="95"/>
      <c r="AB803" s="95"/>
      <c r="AC803" s="95"/>
    </row>
    <row r="804" ht="15.75" customHeight="1" spans="1:29">
      <c r="A804" s="95"/>
      <c r="B804" s="95"/>
      <c r="C804" s="102"/>
      <c r="D804" s="95"/>
      <c r="E804" s="95"/>
      <c r="F804" s="95"/>
      <c r="G804" s="95"/>
      <c r="H804" s="95"/>
      <c r="I804" s="95"/>
      <c r="J804" s="103"/>
      <c r="K804" s="95"/>
      <c r="L804" s="95"/>
      <c r="M804" s="104"/>
      <c r="N804" s="95"/>
      <c r="O804" s="95"/>
      <c r="P804" s="95"/>
      <c r="Q804" s="95"/>
      <c r="R804" s="95"/>
      <c r="S804" s="95"/>
      <c r="T804" s="95"/>
      <c r="U804" s="95"/>
      <c r="V804" s="95"/>
      <c r="W804" s="95"/>
      <c r="X804" s="95"/>
      <c r="Y804" s="95"/>
      <c r="Z804" s="95"/>
      <c r="AA804" s="95"/>
      <c r="AB804" s="95"/>
      <c r="AC804" s="95"/>
    </row>
    <row r="805" ht="15.75" customHeight="1" spans="1:29">
      <c r="A805" s="95"/>
      <c r="B805" s="95"/>
      <c r="C805" s="102"/>
      <c r="D805" s="95"/>
      <c r="E805" s="95"/>
      <c r="F805" s="95"/>
      <c r="G805" s="95"/>
      <c r="H805" s="95"/>
      <c r="I805" s="95"/>
      <c r="J805" s="103"/>
      <c r="K805" s="95"/>
      <c r="L805" s="95"/>
      <c r="M805" s="104"/>
      <c r="N805" s="95"/>
      <c r="O805" s="95"/>
      <c r="P805" s="95"/>
      <c r="Q805" s="95"/>
      <c r="R805" s="95"/>
      <c r="S805" s="95"/>
      <c r="T805" s="95"/>
      <c r="U805" s="95"/>
      <c r="V805" s="95"/>
      <c r="W805" s="95"/>
      <c r="X805" s="95"/>
      <c r="Y805" s="95"/>
      <c r="Z805" s="95"/>
      <c r="AA805" s="95"/>
      <c r="AB805" s="95"/>
      <c r="AC805" s="95"/>
    </row>
    <row r="806" ht="15.75" customHeight="1" spans="1:29">
      <c r="A806" s="95"/>
      <c r="B806" s="95"/>
      <c r="C806" s="102"/>
      <c r="D806" s="95"/>
      <c r="E806" s="95"/>
      <c r="F806" s="95"/>
      <c r="G806" s="95"/>
      <c r="H806" s="95"/>
      <c r="I806" s="95"/>
      <c r="J806" s="103"/>
      <c r="K806" s="95"/>
      <c r="L806" s="95"/>
      <c r="M806" s="104"/>
      <c r="N806" s="95"/>
      <c r="O806" s="95"/>
      <c r="P806" s="95"/>
      <c r="Q806" s="95"/>
      <c r="R806" s="95"/>
      <c r="S806" s="95"/>
      <c r="T806" s="95"/>
      <c r="U806" s="95"/>
      <c r="V806" s="95"/>
      <c r="W806" s="95"/>
      <c r="X806" s="95"/>
      <c r="Y806" s="95"/>
      <c r="Z806" s="95"/>
      <c r="AA806" s="95"/>
      <c r="AB806" s="95"/>
      <c r="AC806" s="95"/>
    </row>
    <row r="807" ht="15.75" customHeight="1" spans="1:29">
      <c r="A807" s="95"/>
      <c r="B807" s="95"/>
      <c r="C807" s="102"/>
      <c r="D807" s="95"/>
      <c r="E807" s="95"/>
      <c r="F807" s="95"/>
      <c r="G807" s="95"/>
      <c r="H807" s="95"/>
      <c r="I807" s="95"/>
      <c r="J807" s="105"/>
      <c r="K807" s="95"/>
      <c r="L807" s="95"/>
      <c r="M807" s="104"/>
      <c r="N807" s="95"/>
      <c r="O807" s="95"/>
      <c r="P807" s="95"/>
      <c r="Q807" s="95"/>
      <c r="R807" s="95"/>
      <c r="S807" s="95"/>
      <c r="T807" s="95"/>
      <c r="U807" s="95"/>
      <c r="V807" s="95"/>
      <c r="W807" s="95"/>
      <c r="X807" s="95"/>
      <c r="Y807" s="95"/>
      <c r="Z807" s="95"/>
      <c r="AA807" s="95"/>
      <c r="AB807" s="95"/>
      <c r="AC807" s="95"/>
    </row>
    <row r="808" ht="15.75" customHeight="1" spans="1:29">
      <c r="A808" s="95"/>
      <c r="B808" s="95"/>
      <c r="C808" s="102"/>
      <c r="D808" s="95"/>
      <c r="E808" s="95"/>
      <c r="F808" s="95"/>
      <c r="G808" s="95"/>
      <c r="H808" s="95"/>
      <c r="I808" s="95"/>
      <c r="J808" s="105"/>
      <c r="K808" s="95"/>
      <c r="L808" s="95"/>
      <c r="M808" s="104"/>
      <c r="N808" s="95"/>
      <c r="O808" s="95"/>
      <c r="P808" s="95"/>
      <c r="Q808" s="95"/>
      <c r="R808" s="95"/>
      <c r="S808" s="95"/>
      <c r="T808" s="95"/>
      <c r="U808" s="95"/>
      <c r="V808" s="95"/>
      <c r="W808" s="95"/>
      <c r="X808" s="95"/>
      <c r="Y808" s="95"/>
      <c r="Z808" s="95"/>
      <c r="AA808" s="95"/>
      <c r="AB808" s="95"/>
      <c r="AC808" s="95"/>
    </row>
    <row r="809" ht="15.75" customHeight="1" spans="1:29">
      <c r="A809" s="95"/>
      <c r="B809" s="95"/>
      <c r="C809" s="102"/>
      <c r="D809" s="95"/>
      <c r="E809" s="95"/>
      <c r="F809" s="95"/>
      <c r="G809" s="95"/>
      <c r="H809" s="95"/>
      <c r="I809" s="95"/>
      <c r="J809" s="105"/>
      <c r="K809" s="95"/>
      <c r="L809" s="95"/>
      <c r="M809" s="104"/>
      <c r="N809" s="95"/>
      <c r="O809" s="95"/>
      <c r="P809" s="95"/>
      <c r="Q809" s="95"/>
      <c r="R809" s="95"/>
      <c r="S809" s="95"/>
      <c r="T809" s="95"/>
      <c r="U809" s="95"/>
      <c r="V809" s="95"/>
      <c r="W809" s="95"/>
      <c r="X809" s="95"/>
      <c r="Y809" s="95"/>
      <c r="Z809" s="95"/>
      <c r="AA809" s="95"/>
      <c r="AB809" s="95"/>
      <c r="AC809" s="95"/>
    </row>
    <row r="810" ht="15.75" customHeight="1" spans="1:29">
      <c r="A810" s="95"/>
      <c r="B810" s="95"/>
      <c r="C810" s="102"/>
      <c r="D810" s="95"/>
      <c r="E810" s="95"/>
      <c r="F810" s="95"/>
      <c r="G810" s="95"/>
      <c r="H810" s="95"/>
      <c r="I810" s="95"/>
      <c r="J810" s="105"/>
      <c r="K810" s="95"/>
      <c r="L810" s="95"/>
      <c r="M810" s="104"/>
      <c r="N810" s="95"/>
      <c r="O810" s="95"/>
      <c r="P810" s="95"/>
      <c r="Q810" s="95"/>
      <c r="R810" s="95"/>
      <c r="S810" s="95"/>
      <c r="T810" s="95"/>
      <c r="U810" s="95"/>
      <c r="V810" s="95"/>
      <c r="W810" s="95"/>
      <c r="X810" s="95"/>
      <c r="Y810" s="95"/>
      <c r="Z810" s="95"/>
      <c r="AA810" s="95"/>
      <c r="AB810" s="95"/>
      <c r="AC810" s="95"/>
    </row>
    <row r="811" ht="15.75" customHeight="1" spans="1:29">
      <c r="A811" s="95"/>
      <c r="B811" s="95"/>
      <c r="C811" s="102"/>
      <c r="D811" s="95"/>
      <c r="E811" s="95"/>
      <c r="F811" s="95"/>
      <c r="G811" s="95"/>
      <c r="H811" s="95"/>
      <c r="I811" s="95"/>
      <c r="J811" s="105"/>
      <c r="K811" s="95"/>
      <c r="L811" s="95"/>
      <c r="M811" s="104"/>
      <c r="N811" s="95"/>
      <c r="O811" s="95"/>
      <c r="P811" s="95"/>
      <c r="Q811" s="95"/>
      <c r="R811" s="95"/>
      <c r="S811" s="95"/>
      <c r="T811" s="95"/>
      <c r="U811" s="95"/>
      <c r="V811" s="95"/>
      <c r="W811" s="95"/>
      <c r="X811" s="95"/>
      <c r="Y811" s="95"/>
      <c r="Z811" s="95"/>
      <c r="AA811" s="95"/>
      <c r="AB811" s="95"/>
      <c r="AC811" s="95"/>
    </row>
    <row r="812" ht="15.75" customHeight="1" spans="1:29">
      <c r="A812" s="95"/>
      <c r="B812" s="95"/>
      <c r="C812" s="102"/>
      <c r="D812" s="95"/>
      <c r="E812" s="95"/>
      <c r="F812" s="95"/>
      <c r="G812" s="95"/>
      <c r="H812" s="95"/>
      <c r="I812" s="95"/>
      <c r="J812" s="105"/>
      <c r="K812" s="95"/>
      <c r="L812" s="95"/>
      <c r="M812" s="104"/>
      <c r="N812" s="95"/>
      <c r="O812" s="95"/>
      <c r="P812" s="95"/>
      <c r="Q812" s="95"/>
      <c r="R812" s="95"/>
      <c r="S812" s="95"/>
      <c r="T812" s="95"/>
      <c r="U812" s="95"/>
      <c r="V812" s="95"/>
      <c r="W812" s="95"/>
      <c r="X812" s="95"/>
      <c r="Y812" s="95"/>
      <c r="Z812" s="95"/>
      <c r="AA812" s="95"/>
      <c r="AB812" s="95"/>
      <c r="AC812" s="95"/>
    </row>
    <row r="813" ht="15.75" customHeight="1" spans="1:29">
      <c r="A813" s="95"/>
      <c r="B813" s="95"/>
      <c r="C813" s="102"/>
      <c r="D813" s="95"/>
      <c r="E813" s="95"/>
      <c r="F813" s="95"/>
      <c r="G813" s="95"/>
      <c r="H813" s="95"/>
      <c r="I813" s="95"/>
      <c r="J813" s="105"/>
      <c r="K813" s="95"/>
      <c r="L813" s="95"/>
      <c r="M813" s="104"/>
      <c r="N813" s="95"/>
      <c r="O813" s="95"/>
      <c r="P813" s="95"/>
      <c r="Q813" s="95"/>
      <c r="R813" s="95"/>
      <c r="S813" s="95"/>
      <c r="T813" s="95"/>
      <c r="U813" s="95"/>
      <c r="V813" s="95"/>
      <c r="W813" s="95"/>
      <c r="X813" s="95"/>
      <c r="Y813" s="95"/>
      <c r="Z813" s="95"/>
      <c r="AA813" s="95"/>
      <c r="AB813" s="95"/>
      <c r="AC813" s="95"/>
    </row>
    <row r="814" ht="15.75" customHeight="1" spans="1:29">
      <c r="A814" s="95"/>
      <c r="B814" s="95"/>
      <c r="C814" s="102"/>
      <c r="D814" s="95"/>
      <c r="E814" s="95"/>
      <c r="F814" s="95"/>
      <c r="G814" s="95"/>
      <c r="H814" s="95"/>
      <c r="I814" s="95"/>
      <c r="J814" s="105"/>
      <c r="K814" s="95"/>
      <c r="L814" s="95"/>
      <c r="M814" s="104"/>
      <c r="N814" s="95"/>
      <c r="O814" s="95"/>
      <c r="P814" s="95"/>
      <c r="Q814" s="95"/>
      <c r="R814" s="95"/>
      <c r="S814" s="95"/>
      <c r="T814" s="95"/>
      <c r="U814" s="95"/>
      <c r="V814" s="95"/>
      <c r="W814" s="95"/>
      <c r="X814" s="95"/>
      <c r="Y814" s="95"/>
      <c r="Z814" s="95"/>
      <c r="AA814" s="95"/>
      <c r="AB814" s="95"/>
      <c r="AC814" s="95"/>
    </row>
    <row r="815" ht="15.75" customHeight="1" spans="1:29">
      <c r="A815" s="95"/>
      <c r="B815" s="95"/>
      <c r="C815" s="102"/>
      <c r="D815" s="95"/>
      <c r="E815" s="95"/>
      <c r="F815" s="95"/>
      <c r="G815" s="95"/>
      <c r="H815" s="95"/>
      <c r="I815" s="95"/>
      <c r="J815" s="105"/>
      <c r="K815" s="95"/>
      <c r="L815" s="95"/>
      <c r="M815" s="104"/>
      <c r="N815" s="95"/>
      <c r="O815" s="95"/>
      <c r="P815" s="95"/>
      <c r="Q815" s="95"/>
      <c r="R815" s="95"/>
      <c r="S815" s="95"/>
      <c r="T815" s="95"/>
      <c r="U815" s="95"/>
      <c r="V815" s="95"/>
      <c r="W815" s="95"/>
      <c r="X815" s="95"/>
      <c r="Y815" s="95"/>
      <c r="Z815" s="95"/>
      <c r="AA815" s="95"/>
      <c r="AB815" s="95"/>
      <c r="AC815" s="95"/>
    </row>
    <row r="816" ht="15.75" customHeight="1" spans="1:29">
      <c r="A816" s="95"/>
      <c r="B816" s="95"/>
      <c r="C816" s="102"/>
      <c r="D816" s="95"/>
      <c r="E816" s="95"/>
      <c r="F816" s="95"/>
      <c r="G816" s="95"/>
      <c r="H816" s="95"/>
      <c r="I816" s="95"/>
      <c r="J816" s="105"/>
      <c r="K816" s="95"/>
      <c r="L816" s="95"/>
      <c r="M816" s="104"/>
      <c r="N816" s="95"/>
      <c r="O816" s="95"/>
      <c r="P816" s="95"/>
      <c r="Q816" s="95"/>
      <c r="R816" s="95"/>
      <c r="S816" s="95"/>
      <c r="T816" s="95"/>
      <c r="U816" s="95"/>
      <c r="V816" s="95"/>
      <c r="W816" s="95"/>
      <c r="X816" s="95"/>
      <c r="Y816" s="95"/>
      <c r="Z816" s="95"/>
      <c r="AA816" s="95"/>
      <c r="AB816" s="95"/>
      <c r="AC816" s="95"/>
    </row>
    <row r="817" ht="15.75" customHeight="1" spans="1:29">
      <c r="A817" s="95"/>
      <c r="B817" s="95"/>
      <c r="C817" s="102"/>
      <c r="D817" s="95"/>
      <c r="E817" s="95"/>
      <c r="F817" s="95"/>
      <c r="G817" s="95"/>
      <c r="H817" s="95"/>
      <c r="I817" s="95"/>
      <c r="J817" s="103"/>
      <c r="K817" s="95"/>
      <c r="L817" s="95"/>
      <c r="M817" s="104"/>
      <c r="N817" s="95"/>
      <c r="O817" s="95"/>
      <c r="P817" s="95"/>
      <c r="Q817" s="95"/>
      <c r="R817" s="95"/>
      <c r="S817" s="95"/>
      <c r="T817" s="95"/>
      <c r="U817" s="95"/>
      <c r="V817" s="95"/>
      <c r="W817" s="95"/>
      <c r="X817" s="95"/>
      <c r="Y817" s="95"/>
      <c r="Z817" s="95"/>
      <c r="AA817" s="95"/>
      <c r="AB817" s="95"/>
      <c r="AC817" s="95"/>
    </row>
    <row r="818" ht="15.75" customHeight="1" spans="1:29">
      <c r="A818" s="95"/>
      <c r="B818" s="95"/>
      <c r="C818" s="102"/>
      <c r="D818" s="95"/>
      <c r="E818" s="95"/>
      <c r="F818" s="95"/>
      <c r="G818" s="95"/>
      <c r="H818" s="95"/>
      <c r="I818" s="95"/>
      <c r="J818" s="103"/>
      <c r="K818" s="95"/>
      <c r="L818" s="95"/>
      <c r="M818" s="104"/>
      <c r="N818" s="95"/>
      <c r="O818" s="95"/>
      <c r="P818" s="95"/>
      <c r="Q818" s="95"/>
      <c r="R818" s="95"/>
      <c r="S818" s="95"/>
      <c r="T818" s="95"/>
      <c r="U818" s="95"/>
      <c r="V818" s="95"/>
      <c r="W818" s="95"/>
      <c r="X818" s="95"/>
      <c r="Y818" s="95"/>
      <c r="Z818" s="95"/>
      <c r="AA818" s="95"/>
      <c r="AB818" s="95"/>
      <c r="AC818" s="95"/>
    </row>
    <row r="819" ht="15.75" customHeight="1" spans="1:29">
      <c r="A819" s="95"/>
      <c r="B819" s="95"/>
      <c r="C819" s="102"/>
      <c r="D819" s="95"/>
      <c r="E819" s="95"/>
      <c r="F819" s="95"/>
      <c r="G819" s="95"/>
      <c r="H819" s="95"/>
      <c r="I819" s="95"/>
      <c r="J819" s="103"/>
      <c r="K819" s="95"/>
      <c r="L819" s="95"/>
      <c r="M819" s="106"/>
      <c r="N819" s="95"/>
      <c r="O819" s="95"/>
      <c r="P819" s="95"/>
      <c r="Q819" s="95"/>
      <c r="R819" s="95"/>
      <c r="S819" s="95"/>
      <c r="T819" s="95"/>
      <c r="U819" s="95"/>
      <c r="V819" s="95"/>
      <c r="W819" s="95"/>
      <c r="X819" s="95"/>
      <c r="Y819" s="95"/>
      <c r="Z819" s="95"/>
      <c r="AA819" s="95"/>
      <c r="AB819" s="95"/>
      <c r="AC819" s="95"/>
    </row>
    <row r="820" ht="15.75" customHeight="1" spans="1:29">
      <c r="A820" s="95"/>
      <c r="B820" s="95"/>
      <c r="C820" s="102"/>
      <c r="D820" s="95"/>
      <c r="E820" s="95"/>
      <c r="F820" s="95"/>
      <c r="G820" s="95"/>
      <c r="H820" s="95"/>
      <c r="I820" s="95"/>
      <c r="J820" s="103"/>
      <c r="K820" s="95"/>
      <c r="L820" s="95"/>
      <c r="M820" s="106"/>
      <c r="N820" s="95"/>
      <c r="O820" s="95"/>
      <c r="P820" s="95"/>
      <c r="Q820" s="95"/>
      <c r="R820" s="95"/>
      <c r="S820" s="95"/>
      <c r="T820" s="95"/>
      <c r="U820" s="95"/>
      <c r="V820" s="95"/>
      <c r="W820" s="95"/>
      <c r="X820" s="95"/>
      <c r="Y820" s="95"/>
      <c r="Z820" s="95"/>
      <c r="AA820" s="95"/>
      <c r="AB820" s="95"/>
      <c r="AC820" s="95"/>
    </row>
    <row r="821" ht="15.75" customHeight="1" spans="1:29">
      <c r="A821" s="95"/>
      <c r="B821" s="95"/>
      <c r="C821" s="102"/>
      <c r="D821" s="95"/>
      <c r="E821" s="95"/>
      <c r="F821" s="95"/>
      <c r="G821" s="95"/>
      <c r="H821" s="95"/>
      <c r="I821" s="95"/>
      <c r="J821" s="105"/>
      <c r="K821" s="95"/>
      <c r="L821" s="95"/>
      <c r="M821" s="104"/>
      <c r="N821" s="95"/>
      <c r="O821" s="95"/>
      <c r="P821" s="95"/>
      <c r="Q821" s="95"/>
      <c r="R821" s="95"/>
      <c r="S821" s="95"/>
      <c r="T821" s="95"/>
      <c r="U821" s="95"/>
      <c r="V821" s="95"/>
      <c r="W821" s="95"/>
      <c r="X821" s="95"/>
      <c r="Y821" s="95"/>
      <c r="Z821" s="95"/>
      <c r="AA821" s="95"/>
      <c r="AB821" s="95"/>
      <c r="AC821" s="95"/>
    </row>
    <row r="822" ht="15.75" customHeight="1" spans="1:29">
      <c r="A822" s="95"/>
      <c r="B822" s="95"/>
      <c r="C822" s="102"/>
      <c r="D822" s="95"/>
      <c r="E822" s="95"/>
      <c r="F822" s="95"/>
      <c r="G822" s="95"/>
      <c r="H822" s="95"/>
      <c r="I822" s="95"/>
      <c r="J822" s="105"/>
      <c r="K822" s="95"/>
      <c r="L822" s="95"/>
      <c r="M822" s="104"/>
      <c r="N822" s="95"/>
      <c r="O822" s="95"/>
      <c r="P822" s="95"/>
      <c r="Q822" s="95"/>
      <c r="R822" s="95"/>
      <c r="S822" s="95"/>
      <c r="T822" s="95"/>
      <c r="U822" s="95"/>
      <c r="V822" s="95"/>
      <c r="W822" s="95"/>
      <c r="X822" s="95"/>
      <c r="Y822" s="95"/>
      <c r="Z822" s="95"/>
      <c r="AA822" s="95"/>
      <c r="AB822" s="95"/>
      <c r="AC822" s="95"/>
    </row>
    <row r="823" ht="15.75" customHeight="1" spans="1:29">
      <c r="A823" s="95"/>
      <c r="B823" s="95"/>
      <c r="C823" s="102"/>
      <c r="D823" s="95"/>
      <c r="E823" s="95"/>
      <c r="F823" s="95"/>
      <c r="G823" s="95"/>
      <c r="H823" s="95"/>
      <c r="I823" s="95"/>
      <c r="J823" s="105"/>
      <c r="K823" s="95"/>
      <c r="L823" s="95"/>
      <c r="M823" s="104"/>
      <c r="N823" s="95"/>
      <c r="O823" s="95"/>
      <c r="P823" s="95"/>
      <c r="Q823" s="95"/>
      <c r="R823" s="95"/>
      <c r="S823" s="95"/>
      <c r="T823" s="95"/>
      <c r="U823" s="95"/>
      <c r="V823" s="95"/>
      <c r="W823" s="95"/>
      <c r="X823" s="95"/>
      <c r="Y823" s="95"/>
      <c r="Z823" s="95"/>
      <c r="AA823" s="95"/>
      <c r="AB823" s="95"/>
      <c r="AC823" s="95"/>
    </row>
    <row r="824" ht="15.75" customHeight="1" spans="1:29">
      <c r="A824" s="95"/>
      <c r="B824" s="95"/>
      <c r="C824" s="102"/>
      <c r="D824" s="95"/>
      <c r="E824" s="95"/>
      <c r="F824" s="95"/>
      <c r="G824" s="95"/>
      <c r="H824" s="95"/>
      <c r="I824" s="95"/>
      <c r="J824" s="105"/>
      <c r="K824" s="95"/>
      <c r="L824" s="95"/>
      <c r="M824" s="104"/>
      <c r="N824" s="95"/>
      <c r="O824" s="95"/>
      <c r="P824" s="95"/>
      <c r="Q824" s="95"/>
      <c r="R824" s="95"/>
      <c r="S824" s="95"/>
      <c r="T824" s="95"/>
      <c r="U824" s="95"/>
      <c r="V824" s="95"/>
      <c r="W824" s="95"/>
      <c r="X824" s="95"/>
      <c r="Y824" s="95"/>
      <c r="Z824" s="95"/>
      <c r="AA824" s="95"/>
      <c r="AB824" s="95"/>
      <c r="AC824" s="95"/>
    </row>
    <row r="825" ht="15.75" customHeight="1" spans="1:29">
      <c r="A825" s="95"/>
      <c r="B825" s="95"/>
      <c r="C825" s="102"/>
      <c r="D825" s="95"/>
      <c r="E825" s="95"/>
      <c r="F825" s="95"/>
      <c r="G825" s="95"/>
      <c r="H825" s="95"/>
      <c r="I825" s="95"/>
      <c r="J825" s="105"/>
      <c r="K825" s="95"/>
      <c r="L825" s="95"/>
      <c r="M825" s="104"/>
      <c r="N825" s="95"/>
      <c r="O825" s="95"/>
      <c r="P825" s="95"/>
      <c r="Q825" s="95"/>
      <c r="R825" s="95"/>
      <c r="S825" s="95"/>
      <c r="T825" s="95"/>
      <c r="U825" s="95"/>
      <c r="V825" s="95"/>
      <c r="W825" s="95"/>
      <c r="X825" s="95"/>
      <c r="Y825" s="95"/>
      <c r="Z825" s="95"/>
      <c r="AA825" s="95"/>
      <c r="AB825" s="95"/>
      <c r="AC825" s="95"/>
    </row>
    <row r="826" ht="15.75" customHeight="1" spans="1:29">
      <c r="A826" s="95"/>
      <c r="B826" s="95"/>
      <c r="C826" s="102"/>
      <c r="D826" s="95"/>
      <c r="E826" s="95"/>
      <c r="F826" s="95"/>
      <c r="G826" s="95"/>
      <c r="H826" s="95"/>
      <c r="I826" s="95"/>
      <c r="J826" s="105"/>
      <c r="K826" s="95"/>
      <c r="L826" s="95"/>
      <c r="M826" s="104"/>
      <c r="N826" s="95"/>
      <c r="O826" s="95"/>
      <c r="P826" s="95"/>
      <c r="Q826" s="95"/>
      <c r="R826" s="95"/>
      <c r="S826" s="95"/>
      <c r="T826" s="95"/>
      <c r="U826" s="95"/>
      <c r="V826" s="95"/>
      <c r="W826" s="95"/>
      <c r="X826" s="95"/>
      <c r="Y826" s="95"/>
      <c r="Z826" s="95"/>
      <c r="AA826" s="95"/>
      <c r="AB826" s="95"/>
      <c r="AC826" s="95"/>
    </row>
    <row r="827" ht="15.75" customHeight="1" spans="1:29">
      <c r="A827" s="95"/>
      <c r="B827" s="95"/>
      <c r="C827" s="102"/>
      <c r="D827" s="95"/>
      <c r="E827" s="95"/>
      <c r="F827" s="95"/>
      <c r="G827" s="95"/>
      <c r="H827" s="95"/>
      <c r="I827" s="95"/>
      <c r="J827" s="105"/>
      <c r="K827" s="95"/>
      <c r="L827" s="95"/>
      <c r="M827" s="104"/>
      <c r="N827" s="95"/>
      <c r="O827" s="95"/>
      <c r="P827" s="95"/>
      <c r="Q827" s="95"/>
      <c r="R827" s="95"/>
      <c r="S827" s="95"/>
      <c r="T827" s="95"/>
      <c r="U827" s="95"/>
      <c r="V827" s="95"/>
      <c r="W827" s="95"/>
      <c r="X827" s="95"/>
      <c r="Y827" s="95"/>
      <c r="Z827" s="95"/>
      <c r="AA827" s="95"/>
      <c r="AB827" s="95"/>
      <c r="AC827" s="95"/>
    </row>
    <row r="828" ht="15.75" customHeight="1" spans="1:29">
      <c r="A828" s="95"/>
      <c r="B828" s="95"/>
      <c r="C828" s="102"/>
      <c r="D828" s="95"/>
      <c r="E828" s="95"/>
      <c r="F828" s="95"/>
      <c r="G828" s="95"/>
      <c r="H828" s="95"/>
      <c r="I828" s="95"/>
      <c r="J828" s="105"/>
      <c r="K828" s="95"/>
      <c r="L828" s="95"/>
      <c r="M828" s="104"/>
      <c r="N828" s="95"/>
      <c r="O828" s="95"/>
      <c r="P828" s="95"/>
      <c r="Q828" s="95"/>
      <c r="R828" s="95"/>
      <c r="S828" s="95"/>
      <c r="T828" s="95"/>
      <c r="U828" s="95"/>
      <c r="V828" s="95"/>
      <c r="W828" s="95"/>
      <c r="X828" s="95"/>
      <c r="Y828" s="95"/>
      <c r="Z828" s="95"/>
      <c r="AA828" s="95"/>
      <c r="AB828" s="95"/>
      <c r="AC828" s="95"/>
    </row>
    <row r="829" ht="15.75" customHeight="1" spans="1:29">
      <c r="A829" s="95"/>
      <c r="B829" s="95"/>
      <c r="C829" s="102"/>
      <c r="D829" s="95"/>
      <c r="E829" s="95"/>
      <c r="F829" s="95"/>
      <c r="G829" s="95"/>
      <c r="H829" s="95"/>
      <c r="I829" s="95"/>
      <c r="J829" s="105"/>
      <c r="K829" s="95"/>
      <c r="L829" s="95"/>
      <c r="M829" s="104"/>
      <c r="N829" s="95"/>
      <c r="O829" s="95"/>
      <c r="P829" s="95"/>
      <c r="Q829" s="95"/>
      <c r="R829" s="95"/>
      <c r="S829" s="95"/>
      <c r="T829" s="95"/>
      <c r="U829" s="95"/>
      <c r="V829" s="95"/>
      <c r="W829" s="95"/>
      <c r="X829" s="95"/>
      <c r="Y829" s="95"/>
      <c r="Z829" s="95"/>
      <c r="AA829" s="95"/>
      <c r="AB829" s="95"/>
      <c r="AC829" s="95"/>
    </row>
    <row r="830" ht="15.75" customHeight="1" spans="1:29">
      <c r="A830" s="95"/>
      <c r="B830" s="95"/>
      <c r="C830" s="102"/>
      <c r="D830" s="95"/>
      <c r="E830" s="95"/>
      <c r="F830" s="95"/>
      <c r="G830" s="95"/>
      <c r="H830" s="95"/>
      <c r="I830" s="95"/>
      <c r="J830" s="105"/>
      <c r="K830" s="95"/>
      <c r="L830" s="95"/>
      <c r="M830" s="104"/>
      <c r="N830" s="95"/>
      <c r="O830" s="95"/>
      <c r="P830" s="95"/>
      <c r="Q830" s="95"/>
      <c r="R830" s="95"/>
      <c r="S830" s="95"/>
      <c r="T830" s="95"/>
      <c r="U830" s="95"/>
      <c r="V830" s="95"/>
      <c r="W830" s="95"/>
      <c r="X830" s="95"/>
      <c r="Y830" s="95"/>
      <c r="Z830" s="95"/>
      <c r="AA830" s="95"/>
      <c r="AB830" s="95"/>
      <c r="AC830" s="95"/>
    </row>
    <row r="831" ht="15.75" customHeight="1" spans="1:29">
      <c r="A831" s="95"/>
      <c r="B831" s="95"/>
      <c r="C831" s="102"/>
      <c r="D831" s="95"/>
      <c r="E831" s="95"/>
      <c r="F831" s="95"/>
      <c r="G831" s="95"/>
      <c r="H831" s="95"/>
      <c r="I831" s="95"/>
      <c r="J831" s="105"/>
      <c r="K831" s="95"/>
      <c r="L831" s="95"/>
      <c r="M831" s="104"/>
      <c r="N831" s="95"/>
      <c r="O831" s="95"/>
      <c r="P831" s="95"/>
      <c r="Q831" s="95"/>
      <c r="R831" s="95"/>
      <c r="S831" s="95"/>
      <c r="T831" s="95"/>
      <c r="U831" s="95"/>
      <c r="V831" s="95"/>
      <c r="W831" s="95"/>
      <c r="X831" s="95"/>
      <c r="Y831" s="95"/>
      <c r="Z831" s="95"/>
      <c r="AA831" s="95"/>
      <c r="AB831" s="95"/>
      <c r="AC831" s="95"/>
    </row>
    <row r="832" ht="15.75" customHeight="1" spans="1:29">
      <c r="A832" s="95"/>
      <c r="B832" s="95"/>
      <c r="C832" s="102"/>
      <c r="D832" s="95"/>
      <c r="E832" s="95"/>
      <c r="F832" s="95"/>
      <c r="G832" s="95"/>
      <c r="H832" s="95"/>
      <c r="I832" s="95"/>
      <c r="J832" s="105"/>
      <c r="K832" s="95"/>
      <c r="L832" s="95"/>
      <c r="M832" s="104"/>
      <c r="N832" s="95"/>
      <c r="O832" s="95"/>
      <c r="P832" s="95"/>
      <c r="Q832" s="95"/>
      <c r="R832" s="95"/>
      <c r="S832" s="95"/>
      <c r="T832" s="95"/>
      <c r="U832" s="95"/>
      <c r="V832" s="95"/>
      <c r="W832" s="95"/>
      <c r="X832" s="95"/>
      <c r="Y832" s="95"/>
      <c r="Z832" s="95"/>
      <c r="AA832" s="95"/>
      <c r="AB832" s="95"/>
      <c r="AC832" s="95"/>
    </row>
    <row r="833" ht="15.75" customHeight="1" spans="1:29">
      <c r="A833" s="95"/>
      <c r="B833" s="95"/>
      <c r="C833" s="102"/>
      <c r="D833" s="95"/>
      <c r="E833" s="95"/>
      <c r="F833" s="95"/>
      <c r="G833" s="95"/>
      <c r="H833" s="95"/>
      <c r="I833" s="95"/>
      <c r="J833" s="103"/>
      <c r="K833" s="95"/>
      <c r="L833" s="95"/>
      <c r="M833" s="104"/>
      <c r="N833" s="95"/>
      <c r="O833" s="95"/>
      <c r="P833" s="95"/>
      <c r="Q833" s="95"/>
      <c r="R833" s="95"/>
      <c r="S833" s="95"/>
      <c r="T833" s="95"/>
      <c r="U833" s="95"/>
      <c r="V833" s="95"/>
      <c r="W833" s="95"/>
      <c r="X833" s="95"/>
      <c r="Y833" s="95"/>
      <c r="Z833" s="95"/>
      <c r="AA833" s="95"/>
      <c r="AB833" s="95"/>
      <c r="AC833" s="95"/>
    </row>
    <row r="834" ht="15.75" customHeight="1" spans="1:29">
      <c r="A834" s="95"/>
      <c r="B834" s="95"/>
      <c r="C834" s="102"/>
      <c r="D834" s="95"/>
      <c r="E834" s="95"/>
      <c r="F834" s="95"/>
      <c r="G834" s="95"/>
      <c r="H834" s="95"/>
      <c r="I834" s="95"/>
      <c r="J834" s="105"/>
      <c r="K834" s="95"/>
      <c r="L834" s="95"/>
      <c r="M834" s="104"/>
      <c r="N834" s="95"/>
      <c r="O834" s="95"/>
      <c r="P834" s="95"/>
      <c r="Q834" s="95"/>
      <c r="R834" s="95"/>
      <c r="S834" s="95"/>
      <c r="T834" s="95"/>
      <c r="U834" s="95"/>
      <c r="V834" s="95"/>
      <c r="W834" s="95"/>
      <c r="X834" s="95"/>
      <c r="Y834" s="95"/>
      <c r="Z834" s="95"/>
      <c r="AA834" s="95"/>
      <c r="AB834" s="95"/>
      <c r="AC834" s="95"/>
    </row>
    <row r="835" ht="15.75" customHeight="1" spans="1:29">
      <c r="A835" s="95"/>
      <c r="B835" s="95"/>
      <c r="C835" s="102"/>
      <c r="D835" s="95"/>
      <c r="E835" s="95"/>
      <c r="F835" s="95"/>
      <c r="G835" s="95"/>
      <c r="H835" s="95"/>
      <c r="I835" s="95"/>
      <c r="J835" s="105"/>
      <c r="K835" s="95"/>
      <c r="L835" s="95"/>
      <c r="M835" s="104"/>
      <c r="N835" s="95"/>
      <c r="O835" s="95"/>
      <c r="P835" s="95"/>
      <c r="Q835" s="95"/>
      <c r="R835" s="95"/>
      <c r="S835" s="95"/>
      <c r="T835" s="95"/>
      <c r="U835" s="95"/>
      <c r="V835" s="95"/>
      <c r="W835" s="95"/>
      <c r="X835" s="95"/>
      <c r="Y835" s="95"/>
      <c r="Z835" s="95"/>
      <c r="AA835" s="95"/>
      <c r="AB835" s="95"/>
      <c r="AC835" s="95"/>
    </row>
    <row r="836" ht="15.75" customHeight="1" spans="1:29">
      <c r="A836" s="95"/>
      <c r="B836" s="95"/>
      <c r="C836" s="102"/>
      <c r="D836" s="95"/>
      <c r="E836" s="95"/>
      <c r="F836" s="95"/>
      <c r="G836" s="95"/>
      <c r="H836" s="95"/>
      <c r="I836" s="95"/>
      <c r="J836" s="105"/>
      <c r="K836" s="95"/>
      <c r="L836" s="95"/>
      <c r="M836" s="104"/>
      <c r="N836" s="95"/>
      <c r="O836" s="95"/>
      <c r="P836" s="95"/>
      <c r="Q836" s="95"/>
      <c r="R836" s="95"/>
      <c r="S836" s="95"/>
      <c r="T836" s="95"/>
      <c r="U836" s="95"/>
      <c r="V836" s="95"/>
      <c r="W836" s="95"/>
      <c r="X836" s="95"/>
      <c r="Y836" s="95"/>
      <c r="Z836" s="95"/>
      <c r="AA836" s="95"/>
      <c r="AB836" s="95"/>
      <c r="AC836" s="95"/>
    </row>
    <row r="837" ht="15.75" customHeight="1" spans="1:29">
      <c r="A837" s="95"/>
      <c r="B837" s="95"/>
      <c r="C837" s="102"/>
      <c r="D837" s="95"/>
      <c r="E837" s="95"/>
      <c r="F837" s="95"/>
      <c r="G837" s="95"/>
      <c r="H837" s="95"/>
      <c r="I837" s="95"/>
      <c r="J837" s="105"/>
      <c r="K837" s="95"/>
      <c r="L837" s="95"/>
      <c r="M837" s="104"/>
      <c r="N837" s="95"/>
      <c r="O837" s="95"/>
      <c r="P837" s="95"/>
      <c r="Q837" s="95"/>
      <c r="R837" s="95"/>
      <c r="S837" s="95"/>
      <c r="T837" s="95"/>
      <c r="U837" s="95"/>
      <c r="V837" s="95"/>
      <c r="W837" s="95"/>
      <c r="X837" s="95"/>
      <c r="Y837" s="95"/>
      <c r="Z837" s="95"/>
      <c r="AA837" s="95"/>
      <c r="AB837" s="95"/>
      <c r="AC837" s="95"/>
    </row>
    <row r="838" ht="15.75" customHeight="1" spans="1:29">
      <c r="A838" s="95"/>
      <c r="B838" s="95"/>
      <c r="C838" s="102"/>
      <c r="D838" s="95"/>
      <c r="E838" s="95"/>
      <c r="F838" s="95"/>
      <c r="G838" s="95"/>
      <c r="H838" s="95"/>
      <c r="I838" s="95"/>
      <c r="J838" s="105"/>
      <c r="K838" s="95"/>
      <c r="L838" s="95"/>
      <c r="M838" s="104"/>
      <c r="N838" s="95"/>
      <c r="O838" s="95"/>
      <c r="P838" s="95"/>
      <c r="Q838" s="95"/>
      <c r="R838" s="95"/>
      <c r="S838" s="95"/>
      <c r="T838" s="95"/>
      <c r="U838" s="95"/>
      <c r="V838" s="95"/>
      <c r="W838" s="95"/>
      <c r="X838" s="95"/>
      <c r="Y838" s="95"/>
      <c r="Z838" s="95"/>
      <c r="AA838" s="95"/>
      <c r="AB838" s="95"/>
      <c r="AC838" s="95"/>
    </row>
    <row r="839" ht="15.75" customHeight="1" spans="1:29">
      <c r="A839" s="95"/>
      <c r="B839" s="95"/>
      <c r="C839" s="102"/>
      <c r="D839" s="95"/>
      <c r="E839" s="95"/>
      <c r="F839" s="95"/>
      <c r="G839" s="95"/>
      <c r="H839" s="95"/>
      <c r="I839" s="95"/>
      <c r="J839" s="105"/>
      <c r="K839" s="95"/>
      <c r="L839" s="95"/>
      <c r="M839" s="104"/>
      <c r="N839" s="95"/>
      <c r="O839" s="95"/>
      <c r="P839" s="95"/>
      <c r="Q839" s="95"/>
      <c r="R839" s="95"/>
      <c r="S839" s="95"/>
      <c r="T839" s="95"/>
      <c r="U839" s="95"/>
      <c r="V839" s="95"/>
      <c r="W839" s="95"/>
      <c r="X839" s="95"/>
      <c r="Y839" s="95"/>
      <c r="Z839" s="95"/>
      <c r="AA839" s="95"/>
      <c r="AB839" s="95"/>
      <c r="AC839" s="95"/>
    </row>
    <row r="840" ht="15.75" customHeight="1" spans="1:29">
      <c r="A840" s="95"/>
      <c r="B840" s="95"/>
      <c r="C840" s="102"/>
      <c r="D840" s="95"/>
      <c r="E840" s="95"/>
      <c r="F840" s="95"/>
      <c r="G840" s="95"/>
      <c r="H840" s="95"/>
      <c r="I840" s="95"/>
      <c r="J840" s="105"/>
      <c r="K840" s="95"/>
      <c r="L840" s="95"/>
      <c r="M840" s="104"/>
      <c r="N840" s="95"/>
      <c r="O840" s="95"/>
      <c r="P840" s="95"/>
      <c r="Q840" s="95"/>
      <c r="R840" s="95"/>
      <c r="S840" s="95"/>
      <c r="T840" s="95"/>
      <c r="U840" s="95"/>
      <c r="V840" s="95"/>
      <c r="W840" s="95"/>
      <c r="X840" s="95"/>
      <c r="Y840" s="95"/>
      <c r="Z840" s="95"/>
      <c r="AA840" s="95"/>
      <c r="AB840" s="95"/>
      <c r="AC840" s="95"/>
    </row>
    <row r="841" ht="15.75" customHeight="1" spans="1:29">
      <c r="A841" s="95"/>
      <c r="B841" s="95"/>
      <c r="C841" s="102"/>
      <c r="D841" s="95"/>
      <c r="E841" s="95"/>
      <c r="F841" s="95"/>
      <c r="G841" s="95"/>
      <c r="H841" s="95"/>
      <c r="I841" s="95"/>
      <c r="J841" s="105"/>
      <c r="K841" s="95"/>
      <c r="L841" s="95"/>
      <c r="M841" s="104"/>
      <c r="N841" s="95"/>
      <c r="O841" s="95"/>
      <c r="P841" s="95"/>
      <c r="Q841" s="95"/>
      <c r="R841" s="95"/>
      <c r="S841" s="95"/>
      <c r="T841" s="95"/>
      <c r="U841" s="95"/>
      <c r="V841" s="95"/>
      <c r="W841" s="95"/>
      <c r="X841" s="95"/>
      <c r="Y841" s="95"/>
      <c r="Z841" s="95"/>
      <c r="AA841" s="95"/>
      <c r="AB841" s="95"/>
      <c r="AC841" s="95"/>
    </row>
    <row r="842" ht="15.75" customHeight="1" spans="1:29">
      <c r="A842" s="95"/>
      <c r="B842" s="95"/>
      <c r="C842" s="102"/>
      <c r="D842" s="95"/>
      <c r="E842" s="95"/>
      <c r="F842" s="95"/>
      <c r="G842" s="95"/>
      <c r="H842" s="95"/>
      <c r="I842" s="95"/>
      <c r="J842" s="105"/>
      <c r="K842" s="95"/>
      <c r="L842" s="95"/>
      <c r="M842" s="104"/>
      <c r="N842" s="95"/>
      <c r="O842" s="95"/>
      <c r="P842" s="95"/>
      <c r="Q842" s="95"/>
      <c r="R842" s="95"/>
      <c r="S842" s="95"/>
      <c r="T842" s="95"/>
      <c r="U842" s="95"/>
      <c r="V842" s="95"/>
      <c r="W842" s="95"/>
      <c r="X842" s="95"/>
      <c r="Y842" s="95"/>
      <c r="Z842" s="95"/>
      <c r="AA842" s="95"/>
      <c r="AB842" s="95"/>
      <c r="AC842" s="95"/>
    </row>
    <row r="843" ht="15.75" customHeight="1" spans="1:29">
      <c r="A843" s="95"/>
      <c r="B843" s="95"/>
      <c r="C843" s="102"/>
      <c r="D843" s="95"/>
      <c r="E843" s="95"/>
      <c r="F843" s="95"/>
      <c r="G843" s="95"/>
      <c r="H843" s="95"/>
      <c r="I843" s="95"/>
      <c r="J843" s="103"/>
      <c r="K843" s="95"/>
      <c r="L843" s="95"/>
      <c r="M843" s="104"/>
      <c r="N843" s="95"/>
      <c r="O843" s="95"/>
      <c r="P843" s="95"/>
      <c r="Q843" s="95"/>
      <c r="R843" s="95"/>
      <c r="S843" s="95"/>
      <c r="T843" s="95"/>
      <c r="U843" s="95"/>
      <c r="V843" s="95"/>
      <c r="W843" s="95"/>
      <c r="X843" s="95"/>
      <c r="Y843" s="95"/>
      <c r="Z843" s="95"/>
      <c r="AA843" s="95"/>
      <c r="AB843" s="95"/>
      <c r="AC843" s="95"/>
    </row>
    <row r="844" ht="15.75" customHeight="1" spans="1:29">
      <c r="A844" s="95"/>
      <c r="B844" s="95"/>
      <c r="C844" s="102"/>
      <c r="D844" s="95"/>
      <c r="E844" s="95"/>
      <c r="F844" s="95"/>
      <c r="G844" s="95"/>
      <c r="H844" s="95"/>
      <c r="I844" s="95"/>
      <c r="J844" s="105"/>
      <c r="K844" s="95"/>
      <c r="L844" s="95"/>
      <c r="M844" s="104"/>
      <c r="N844" s="95"/>
      <c r="O844" s="95"/>
      <c r="P844" s="95"/>
      <c r="Q844" s="95"/>
      <c r="R844" s="95"/>
      <c r="S844" s="95"/>
      <c r="T844" s="95"/>
      <c r="U844" s="95"/>
      <c r="V844" s="95"/>
      <c r="W844" s="95"/>
      <c r="X844" s="95"/>
      <c r="Y844" s="95"/>
      <c r="Z844" s="95"/>
      <c r="AA844" s="95"/>
      <c r="AB844" s="95"/>
      <c r="AC844" s="95"/>
    </row>
    <row r="845" ht="15.75" customHeight="1" spans="1:29">
      <c r="A845" s="95"/>
      <c r="B845" s="95"/>
      <c r="C845" s="102"/>
      <c r="D845" s="95"/>
      <c r="E845" s="95"/>
      <c r="F845" s="95"/>
      <c r="G845" s="95"/>
      <c r="H845" s="95"/>
      <c r="I845" s="95"/>
      <c r="J845" s="105"/>
      <c r="K845" s="95"/>
      <c r="L845" s="95"/>
      <c r="M845" s="104"/>
      <c r="N845" s="95"/>
      <c r="O845" s="95"/>
      <c r="P845" s="95"/>
      <c r="Q845" s="95"/>
      <c r="R845" s="95"/>
      <c r="S845" s="95"/>
      <c r="T845" s="95"/>
      <c r="U845" s="95"/>
      <c r="V845" s="95"/>
      <c r="W845" s="95"/>
      <c r="X845" s="95"/>
      <c r="Y845" s="95"/>
      <c r="Z845" s="95"/>
      <c r="AA845" s="95"/>
      <c r="AB845" s="95"/>
      <c r="AC845" s="95"/>
    </row>
    <row r="846" ht="15.75" customHeight="1" spans="1:29">
      <c r="A846" s="95"/>
      <c r="B846" s="95"/>
      <c r="C846" s="102"/>
      <c r="D846" s="95"/>
      <c r="E846" s="95"/>
      <c r="F846" s="95"/>
      <c r="G846" s="95"/>
      <c r="H846" s="95"/>
      <c r="I846" s="95"/>
      <c r="J846" s="103"/>
      <c r="K846" s="95"/>
      <c r="L846" s="95"/>
      <c r="M846" s="104"/>
      <c r="N846" s="95"/>
      <c r="O846" s="95"/>
      <c r="P846" s="95"/>
      <c r="Q846" s="95"/>
      <c r="R846" s="95"/>
      <c r="S846" s="95"/>
      <c r="T846" s="95"/>
      <c r="U846" s="95"/>
      <c r="V846" s="95"/>
      <c r="W846" s="95"/>
      <c r="X846" s="95"/>
      <c r="Y846" s="95"/>
      <c r="Z846" s="95"/>
      <c r="AA846" s="95"/>
      <c r="AB846" s="95"/>
      <c r="AC846" s="95"/>
    </row>
    <row r="847" ht="15.75" customHeight="1" spans="1:29">
      <c r="A847" s="95"/>
      <c r="B847" s="95"/>
      <c r="C847" s="102"/>
      <c r="D847" s="95"/>
      <c r="E847" s="95"/>
      <c r="F847" s="95"/>
      <c r="G847" s="95"/>
      <c r="H847" s="95"/>
      <c r="I847" s="95"/>
      <c r="J847" s="103"/>
      <c r="K847" s="95"/>
      <c r="L847" s="95"/>
      <c r="M847" s="104"/>
      <c r="N847" s="95"/>
      <c r="O847" s="95"/>
      <c r="P847" s="95"/>
      <c r="Q847" s="95"/>
      <c r="R847" s="95"/>
      <c r="S847" s="95"/>
      <c r="T847" s="95"/>
      <c r="U847" s="95"/>
      <c r="V847" s="95"/>
      <c r="W847" s="95"/>
      <c r="X847" s="95"/>
      <c r="Y847" s="95"/>
      <c r="Z847" s="95"/>
      <c r="AA847" s="95"/>
      <c r="AB847" s="95"/>
      <c r="AC847" s="95"/>
    </row>
    <row r="848" ht="15.75" customHeight="1" spans="1:29">
      <c r="A848" s="95"/>
      <c r="B848" s="95"/>
      <c r="C848" s="102"/>
      <c r="D848" s="95"/>
      <c r="E848" s="95"/>
      <c r="F848" s="95"/>
      <c r="G848" s="95"/>
      <c r="H848" s="95"/>
      <c r="I848" s="95"/>
      <c r="J848" s="103"/>
      <c r="K848" s="95"/>
      <c r="L848" s="95"/>
      <c r="M848" s="104"/>
      <c r="N848" s="95"/>
      <c r="O848" s="95"/>
      <c r="P848" s="95"/>
      <c r="Q848" s="95"/>
      <c r="R848" s="95"/>
      <c r="S848" s="95"/>
      <c r="T848" s="95"/>
      <c r="U848" s="95"/>
      <c r="V848" s="95"/>
      <c r="W848" s="95"/>
      <c r="X848" s="95"/>
      <c r="Y848" s="95"/>
      <c r="Z848" s="95"/>
      <c r="AA848" s="95"/>
      <c r="AB848" s="95"/>
      <c r="AC848" s="95"/>
    </row>
    <row r="849" ht="15.75" customHeight="1" spans="1:29">
      <c r="A849" s="95"/>
      <c r="B849" s="95"/>
      <c r="C849" s="102"/>
      <c r="D849" s="95"/>
      <c r="E849" s="95"/>
      <c r="F849" s="95"/>
      <c r="G849" s="95"/>
      <c r="H849" s="95"/>
      <c r="I849" s="95"/>
      <c r="J849" s="103"/>
      <c r="K849" s="95"/>
      <c r="L849" s="95"/>
      <c r="M849" s="104"/>
      <c r="N849" s="95"/>
      <c r="O849" s="95"/>
      <c r="P849" s="95"/>
      <c r="Q849" s="95"/>
      <c r="R849" s="95"/>
      <c r="S849" s="95"/>
      <c r="T849" s="95"/>
      <c r="U849" s="95"/>
      <c r="V849" s="95"/>
      <c r="W849" s="95"/>
      <c r="X849" s="95"/>
      <c r="Y849" s="95"/>
      <c r="Z849" s="95"/>
      <c r="AA849" s="95"/>
      <c r="AB849" s="95"/>
      <c r="AC849" s="95"/>
    </row>
    <row r="850" ht="15.75" customHeight="1" spans="1:29">
      <c r="A850" s="95"/>
      <c r="B850" s="95"/>
      <c r="C850" s="102"/>
      <c r="D850" s="95"/>
      <c r="E850" s="95"/>
      <c r="F850" s="95"/>
      <c r="G850" s="95"/>
      <c r="H850" s="95"/>
      <c r="I850" s="95"/>
      <c r="J850" s="103"/>
      <c r="K850" s="95"/>
      <c r="L850" s="95"/>
      <c r="M850" s="106"/>
      <c r="N850" s="95"/>
      <c r="O850" s="95"/>
      <c r="P850" s="95"/>
      <c r="Q850" s="95"/>
      <c r="R850" s="95"/>
      <c r="S850" s="95"/>
      <c r="T850" s="95"/>
      <c r="U850" s="95"/>
      <c r="V850" s="95"/>
      <c r="W850" s="95"/>
      <c r="X850" s="95"/>
      <c r="Y850" s="95"/>
      <c r="Z850" s="95"/>
      <c r="AA850" s="95"/>
      <c r="AB850" s="95"/>
      <c r="AC850" s="95"/>
    </row>
    <row r="851" ht="15.75" customHeight="1" spans="1:29">
      <c r="A851" s="95"/>
      <c r="B851" s="95"/>
      <c r="C851" s="102"/>
      <c r="D851" s="95"/>
      <c r="E851" s="95"/>
      <c r="F851" s="95"/>
      <c r="G851" s="95"/>
      <c r="H851" s="95"/>
      <c r="I851" s="95"/>
      <c r="J851" s="103"/>
      <c r="K851" s="95"/>
      <c r="L851" s="95"/>
      <c r="M851" s="104"/>
      <c r="N851" s="95"/>
      <c r="O851" s="95"/>
      <c r="P851" s="95"/>
      <c r="Q851" s="95"/>
      <c r="R851" s="95"/>
      <c r="S851" s="95"/>
      <c r="T851" s="95"/>
      <c r="U851" s="95"/>
      <c r="V851" s="95"/>
      <c r="W851" s="95"/>
      <c r="X851" s="95"/>
      <c r="Y851" s="95"/>
      <c r="Z851" s="95"/>
      <c r="AA851" s="95"/>
      <c r="AB851" s="95"/>
      <c r="AC851" s="95"/>
    </row>
    <row r="852" ht="15.75" customHeight="1" spans="1:29">
      <c r="A852" s="95"/>
      <c r="B852" s="95"/>
      <c r="C852" s="102"/>
      <c r="D852" s="95"/>
      <c r="E852" s="95"/>
      <c r="F852" s="95"/>
      <c r="G852" s="95"/>
      <c r="H852" s="95"/>
      <c r="I852" s="95"/>
      <c r="J852" s="103"/>
      <c r="K852" s="95"/>
      <c r="L852" s="95"/>
      <c r="M852" s="104"/>
      <c r="N852" s="95"/>
      <c r="O852" s="95"/>
      <c r="P852" s="95"/>
      <c r="Q852" s="95"/>
      <c r="R852" s="95"/>
      <c r="S852" s="95"/>
      <c r="T852" s="95"/>
      <c r="U852" s="95"/>
      <c r="V852" s="95"/>
      <c r="W852" s="95"/>
      <c r="X852" s="95"/>
      <c r="Y852" s="95"/>
      <c r="Z852" s="95"/>
      <c r="AA852" s="95"/>
      <c r="AB852" s="95"/>
      <c r="AC852" s="95"/>
    </row>
    <row r="853" ht="15.75" customHeight="1" spans="1:29">
      <c r="A853" s="95"/>
      <c r="B853" s="95"/>
      <c r="C853" s="102"/>
      <c r="D853" s="95"/>
      <c r="E853" s="95"/>
      <c r="F853" s="95"/>
      <c r="G853" s="95"/>
      <c r="H853" s="95"/>
      <c r="I853" s="95"/>
      <c r="J853" s="105"/>
      <c r="K853" s="95"/>
      <c r="L853" s="95"/>
      <c r="M853" s="104"/>
      <c r="N853" s="95"/>
      <c r="O853" s="95"/>
      <c r="P853" s="95"/>
      <c r="Q853" s="95"/>
      <c r="R853" s="95"/>
      <c r="S853" s="95"/>
      <c r="T853" s="95"/>
      <c r="U853" s="95"/>
      <c r="V853" s="95"/>
      <c r="W853" s="95"/>
      <c r="X853" s="95"/>
      <c r="Y853" s="95"/>
      <c r="Z853" s="95"/>
      <c r="AA853" s="95"/>
      <c r="AB853" s="95"/>
      <c r="AC853" s="95"/>
    </row>
    <row r="854" ht="15.75" customHeight="1" spans="1:29">
      <c r="A854" s="95"/>
      <c r="B854" s="95"/>
      <c r="C854" s="102"/>
      <c r="D854" s="95"/>
      <c r="E854" s="95"/>
      <c r="F854" s="95"/>
      <c r="G854" s="95"/>
      <c r="H854" s="95"/>
      <c r="I854" s="95"/>
      <c r="J854" s="105"/>
      <c r="K854" s="95"/>
      <c r="L854" s="95"/>
      <c r="M854" s="106"/>
      <c r="N854" s="95"/>
      <c r="O854" s="95"/>
      <c r="P854" s="95"/>
      <c r="Q854" s="95"/>
      <c r="R854" s="95"/>
      <c r="S854" s="95"/>
      <c r="T854" s="95"/>
      <c r="U854" s="95"/>
      <c r="V854" s="95"/>
      <c r="W854" s="95"/>
      <c r="X854" s="95"/>
      <c r="Y854" s="95"/>
      <c r="Z854" s="95"/>
      <c r="AA854" s="95"/>
      <c r="AB854" s="95"/>
      <c r="AC854" s="95"/>
    </row>
    <row r="855" ht="15.75" customHeight="1" spans="1:29">
      <c r="A855" s="95"/>
      <c r="B855" s="95"/>
      <c r="C855" s="102"/>
      <c r="D855" s="95"/>
      <c r="E855" s="95"/>
      <c r="F855" s="95"/>
      <c r="G855" s="95"/>
      <c r="H855" s="95"/>
      <c r="I855" s="95"/>
      <c r="J855" s="105"/>
      <c r="K855" s="95"/>
      <c r="L855" s="95"/>
      <c r="M855" s="104"/>
      <c r="N855" s="95"/>
      <c r="O855" s="95"/>
      <c r="P855" s="95"/>
      <c r="Q855" s="95"/>
      <c r="R855" s="95"/>
      <c r="S855" s="95"/>
      <c r="T855" s="95"/>
      <c r="U855" s="95"/>
      <c r="V855" s="95"/>
      <c r="W855" s="95"/>
      <c r="X855" s="95"/>
      <c r="Y855" s="95"/>
      <c r="Z855" s="95"/>
      <c r="AA855" s="95"/>
      <c r="AB855" s="95"/>
      <c r="AC855" s="95"/>
    </row>
    <row r="856" ht="15.75" customHeight="1" spans="1:29">
      <c r="A856" s="95"/>
      <c r="B856" s="95"/>
      <c r="C856" s="102"/>
      <c r="D856" s="95"/>
      <c r="E856" s="95"/>
      <c r="F856" s="95"/>
      <c r="G856" s="95"/>
      <c r="H856" s="95"/>
      <c r="I856" s="95"/>
      <c r="J856" s="105"/>
      <c r="K856" s="95"/>
      <c r="L856" s="95"/>
      <c r="M856" s="104"/>
      <c r="N856" s="95"/>
      <c r="O856" s="95"/>
      <c r="P856" s="95"/>
      <c r="Q856" s="95"/>
      <c r="R856" s="95"/>
      <c r="S856" s="95"/>
      <c r="T856" s="95"/>
      <c r="U856" s="95"/>
      <c r="V856" s="95"/>
      <c r="W856" s="95"/>
      <c r="X856" s="95"/>
      <c r="Y856" s="95"/>
      <c r="Z856" s="95"/>
      <c r="AA856" s="95"/>
      <c r="AB856" s="95"/>
      <c r="AC856" s="95"/>
    </row>
    <row r="857" ht="15.75" customHeight="1" spans="1:29">
      <c r="A857" s="95"/>
      <c r="B857" s="95"/>
      <c r="C857" s="102"/>
      <c r="D857" s="95"/>
      <c r="E857" s="95"/>
      <c r="F857" s="95"/>
      <c r="G857" s="95"/>
      <c r="H857" s="95"/>
      <c r="I857" s="95"/>
      <c r="J857" s="105"/>
      <c r="K857" s="95"/>
      <c r="L857" s="95"/>
      <c r="M857" s="104"/>
      <c r="N857" s="95"/>
      <c r="O857" s="95"/>
      <c r="P857" s="95"/>
      <c r="Q857" s="95"/>
      <c r="R857" s="95"/>
      <c r="S857" s="95"/>
      <c r="T857" s="95"/>
      <c r="U857" s="95"/>
      <c r="V857" s="95"/>
      <c r="W857" s="95"/>
      <c r="X857" s="95"/>
      <c r="Y857" s="95"/>
      <c r="Z857" s="95"/>
      <c r="AA857" s="95"/>
      <c r="AB857" s="95"/>
      <c r="AC857" s="95"/>
    </row>
    <row r="858" ht="15.75" customHeight="1" spans="1:29">
      <c r="A858" s="95"/>
      <c r="B858" s="95"/>
      <c r="C858" s="102"/>
      <c r="D858" s="95"/>
      <c r="E858" s="95"/>
      <c r="F858" s="95"/>
      <c r="G858" s="95"/>
      <c r="H858" s="95"/>
      <c r="I858" s="95"/>
      <c r="J858" s="105"/>
      <c r="K858" s="95"/>
      <c r="L858" s="95"/>
      <c r="M858" s="104"/>
      <c r="N858" s="95"/>
      <c r="O858" s="95"/>
      <c r="P858" s="95"/>
      <c r="Q858" s="95"/>
      <c r="R858" s="95"/>
      <c r="S858" s="95"/>
      <c r="T858" s="95"/>
      <c r="U858" s="95"/>
      <c r="V858" s="95"/>
      <c r="W858" s="95"/>
      <c r="X858" s="95"/>
      <c r="Y858" s="95"/>
      <c r="Z858" s="95"/>
      <c r="AA858" s="95"/>
      <c r="AB858" s="95"/>
      <c r="AC858" s="95"/>
    </row>
    <row r="859" ht="15.75" customHeight="1" spans="1:29">
      <c r="A859" s="95"/>
      <c r="B859" s="95"/>
      <c r="C859" s="102"/>
      <c r="D859" s="95"/>
      <c r="E859" s="95"/>
      <c r="F859" s="95"/>
      <c r="G859" s="95"/>
      <c r="H859" s="95"/>
      <c r="I859" s="95"/>
      <c r="J859" s="103"/>
      <c r="K859" s="95"/>
      <c r="L859" s="95"/>
      <c r="M859" s="104"/>
      <c r="N859" s="95"/>
      <c r="O859" s="95"/>
      <c r="P859" s="95"/>
      <c r="Q859" s="95"/>
      <c r="R859" s="95"/>
      <c r="S859" s="95"/>
      <c r="T859" s="95"/>
      <c r="U859" s="95"/>
      <c r="V859" s="95"/>
      <c r="W859" s="95"/>
      <c r="X859" s="95"/>
      <c r="Y859" s="95"/>
      <c r="Z859" s="95"/>
      <c r="AA859" s="95"/>
      <c r="AB859" s="95"/>
      <c r="AC859" s="95"/>
    </row>
    <row r="860" ht="15.75" customHeight="1" spans="1:29">
      <c r="A860" s="95"/>
      <c r="B860" s="95"/>
      <c r="C860" s="102"/>
      <c r="D860" s="95"/>
      <c r="E860" s="95"/>
      <c r="F860" s="95"/>
      <c r="G860" s="95"/>
      <c r="H860" s="95"/>
      <c r="I860" s="95"/>
      <c r="J860" s="103"/>
      <c r="K860" s="95"/>
      <c r="L860" s="95"/>
      <c r="M860" s="106"/>
      <c r="N860" s="95"/>
      <c r="O860" s="95"/>
      <c r="P860" s="95"/>
      <c r="Q860" s="95"/>
      <c r="R860" s="95"/>
      <c r="S860" s="95"/>
      <c r="T860" s="95"/>
      <c r="U860" s="95"/>
      <c r="V860" s="95"/>
      <c r="W860" s="95"/>
      <c r="X860" s="95"/>
      <c r="Y860" s="95"/>
      <c r="Z860" s="95"/>
      <c r="AA860" s="95"/>
      <c r="AB860" s="95"/>
      <c r="AC860" s="95"/>
    </row>
    <row r="861" ht="15.75" customHeight="1" spans="1:29">
      <c r="A861" s="95"/>
      <c r="B861" s="95"/>
      <c r="C861" s="102"/>
      <c r="D861" s="95"/>
      <c r="E861" s="95"/>
      <c r="F861" s="95"/>
      <c r="G861" s="95"/>
      <c r="H861" s="95"/>
      <c r="I861" s="95"/>
      <c r="J861" s="103"/>
      <c r="K861" s="95"/>
      <c r="L861" s="95"/>
      <c r="M861" s="106"/>
      <c r="N861" s="95"/>
      <c r="O861" s="95"/>
      <c r="P861" s="95"/>
      <c r="Q861" s="95"/>
      <c r="R861" s="95"/>
      <c r="S861" s="95"/>
      <c r="T861" s="95"/>
      <c r="U861" s="95"/>
      <c r="V861" s="95"/>
      <c r="W861" s="95"/>
      <c r="X861" s="95"/>
      <c r="Y861" s="95"/>
      <c r="Z861" s="95"/>
      <c r="AA861" s="95"/>
      <c r="AB861" s="95"/>
      <c r="AC861" s="95"/>
    </row>
    <row r="862" ht="15.75" customHeight="1" spans="1:29">
      <c r="A862" s="95"/>
      <c r="B862" s="95"/>
      <c r="C862" s="102"/>
      <c r="D862" s="95"/>
      <c r="E862" s="95"/>
      <c r="F862" s="95"/>
      <c r="G862" s="95"/>
      <c r="H862" s="95"/>
      <c r="I862" s="95"/>
      <c r="J862" s="103"/>
      <c r="K862" s="95"/>
      <c r="L862" s="95"/>
      <c r="M862" s="106"/>
      <c r="N862" s="95"/>
      <c r="O862" s="95"/>
      <c r="P862" s="95"/>
      <c r="Q862" s="95"/>
      <c r="R862" s="95"/>
      <c r="S862" s="95"/>
      <c r="T862" s="95"/>
      <c r="U862" s="95"/>
      <c r="V862" s="95"/>
      <c r="W862" s="95"/>
      <c r="X862" s="95"/>
      <c r="Y862" s="95"/>
      <c r="Z862" s="95"/>
      <c r="AA862" s="95"/>
      <c r="AB862" s="95"/>
      <c r="AC862" s="95"/>
    </row>
    <row r="863" ht="15.75" customHeight="1" spans="1:29">
      <c r="A863" s="95"/>
      <c r="B863" s="95"/>
      <c r="C863" s="102"/>
      <c r="D863" s="95"/>
      <c r="E863" s="95"/>
      <c r="F863" s="95"/>
      <c r="G863" s="95"/>
      <c r="H863" s="95"/>
      <c r="I863" s="95"/>
      <c r="J863" s="103"/>
      <c r="K863" s="95"/>
      <c r="L863" s="95"/>
      <c r="M863" s="104"/>
      <c r="N863" s="95"/>
      <c r="O863" s="95"/>
      <c r="P863" s="95"/>
      <c r="Q863" s="95"/>
      <c r="R863" s="95"/>
      <c r="S863" s="95"/>
      <c r="T863" s="95"/>
      <c r="U863" s="95"/>
      <c r="V863" s="95"/>
      <c r="W863" s="95"/>
      <c r="X863" s="95"/>
      <c r="Y863" s="95"/>
      <c r="Z863" s="95"/>
      <c r="AA863" s="95"/>
      <c r="AB863" s="95"/>
      <c r="AC863" s="95"/>
    </row>
    <row r="864" ht="15.75" customHeight="1" spans="1:29">
      <c r="A864" s="95"/>
      <c r="B864" s="95"/>
      <c r="C864" s="102"/>
      <c r="D864" s="95"/>
      <c r="E864" s="95"/>
      <c r="F864" s="95"/>
      <c r="G864" s="95"/>
      <c r="H864" s="95"/>
      <c r="I864" s="95"/>
      <c r="J864" s="103"/>
      <c r="K864" s="95"/>
      <c r="L864" s="95"/>
      <c r="M864" s="104"/>
      <c r="N864" s="95"/>
      <c r="O864" s="95"/>
      <c r="P864" s="95"/>
      <c r="Q864" s="95"/>
      <c r="R864" s="95"/>
      <c r="S864" s="95"/>
      <c r="T864" s="95"/>
      <c r="U864" s="95"/>
      <c r="V864" s="95"/>
      <c r="W864" s="95"/>
      <c r="X864" s="95"/>
      <c r="Y864" s="95"/>
      <c r="Z864" s="95"/>
      <c r="AA864" s="95"/>
      <c r="AB864" s="95"/>
      <c r="AC864" s="95"/>
    </row>
    <row r="865" ht="15.75" customHeight="1" spans="1:29">
      <c r="A865" s="95"/>
      <c r="B865" s="95"/>
      <c r="C865" s="102"/>
      <c r="D865" s="95"/>
      <c r="E865" s="95"/>
      <c r="F865" s="95"/>
      <c r="G865" s="95"/>
      <c r="H865" s="95"/>
      <c r="I865" s="95"/>
      <c r="J865" s="103"/>
      <c r="K865" s="95"/>
      <c r="L865" s="95"/>
      <c r="M865" s="104"/>
      <c r="N865" s="95"/>
      <c r="O865" s="95"/>
      <c r="P865" s="95"/>
      <c r="Q865" s="95"/>
      <c r="R865" s="95"/>
      <c r="S865" s="95"/>
      <c r="T865" s="95"/>
      <c r="U865" s="95"/>
      <c r="V865" s="95"/>
      <c r="W865" s="95"/>
      <c r="X865" s="95"/>
      <c r="Y865" s="95"/>
      <c r="Z865" s="95"/>
      <c r="AA865" s="95"/>
      <c r="AB865" s="95"/>
      <c r="AC865" s="95"/>
    </row>
    <row r="866" ht="15.75" customHeight="1" spans="1:29">
      <c r="A866" s="95"/>
      <c r="B866" s="95"/>
      <c r="C866" s="102"/>
      <c r="D866" s="95"/>
      <c r="E866" s="95"/>
      <c r="F866" s="95"/>
      <c r="G866" s="95"/>
      <c r="H866" s="95"/>
      <c r="I866" s="95"/>
      <c r="J866" s="105"/>
      <c r="K866" s="95"/>
      <c r="L866" s="95"/>
      <c r="M866" s="106"/>
      <c r="N866" s="95"/>
      <c r="O866" s="95"/>
      <c r="P866" s="95"/>
      <c r="Q866" s="95"/>
      <c r="R866" s="95"/>
      <c r="S866" s="95"/>
      <c r="T866" s="95"/>
      <c r="U866" s="95"/>
      <c r="V866" s="95"/>
      <c r="W866" s="95"/>
      <c r="X866" s="95"/>
      <c r="Y866" s="95"/>
      <c r="Z866" s="95"/>
      <c r="AA866" s="95"/>
      <c r="AB866" s="95"/>
      <c r="AC866" s="95"/>
    </row>
    <row r="867" ht="15.75" customHeight="1" spans="1:29">
      <c r="A867" s="95"/>
      <c r="B867" s="95"/>
      <c r="C867" s="102"/>
      <c r="D867" s="95"/>
      <c r="E867" s="95"/>
      <c r="F867" s="95"/>
      <c r="G867" s="95"/>
      <c r="H867" s="95"/>
      <c r="I867" s="95"/>
      <c r="J867" s="105"/>
      <c r="K867" s="95"/>
      <c r="L867" s="95"/>
      <c r="M867" s="104"/>
      <c r="N867" s="95"/>
      <c r="O867" s="95"/>
      <c r="P867" s="95"/>
      <c r="Q867" s="95"/>
      <c r="R867" s="95"/>
      <c r="S867" s="95"/>
      <c r="T867" s="95"/>
      <c r="U867" s="95"/>
      <c r="V867" s="95"/>
      <c r="W867" s="95"/>
      <c r="X867" s="95"/>
      <c r="Y867" s="95"/>
      <c r="Z867" s="95"/>
      <c r="AA867" s="95"/>
      <c r="AB867" s="95"/>
      <c r="AC867" s="95"/>
    </row>
    <row r="868" ht="15.75" customHeight="1" spans="1:29">
      <c r="A868" s="95"/>
      <c r="B868" s="95"/>
      <c r="C868" s="102"/>
      <c r="D868" s="95"/>
      <c r="E868" s="95"/>
      <c r="F868" s="95"/>
      <c r="G868" s="95"/>
      <c r="H868" s="95"/>
      <c r="I868" s="95"/>
      <c r="J868" s="105"/>
      <c r="K868" s="95"/>
      <c r="L868" s="95"/>
      <c r="M868" s="106"/>
      <c r="N868" s="95"/>
      <c r="O868" s="95"/>
      <c r="P868" s="95"/>
      <c r="Q868" s="95"/>
      <c r="R868" s="95"/>
      <c r="S868" s="95"/>
      <c r="T868" s="95"/>
      <c r="U868" s="95"/>
      <c r="V868" s="95"/>
      <c r="W868" s="95"/>
      <c r="X868" s="95"/>
      <c r="Y868" s="95"/>
      <c r="Z868" s="95"/>
      <c r="AA868" s="95"/>
      <c r="AB868" s="95"/>
      <c r="AC868" s="95"/>
    </row>
    <row r="869" ht="15.75" customHeight="1" spans="1:29">
      <c r="A869" s="95"/>
      <c r="B869" s="95"/>
      <c r="C869" s="102"/>
      <c r="D869" s="95"/>
      <c r="E869" s="95"/>
      <c r="F869" s="95"/>
      <c r="G869" s="95"/>
      <c r="H869" s="95"/>
      <c r="I869" s="95"/>
      <c r="J869" s="105"/>
      <c r="K869" s="95"/>
      <c r="L869" s="95"/>
      <c r="M869" s="104"/>
      <c r="N869" s="95"/>
      <c r="O869" s="95"/>
      <c r="P869" s="95"/>
      <c r="Q869" s="95"/>
      <c r="R869" s="95"/>
      <c r="S869" s="95"/>
      <c r="T869" s="95"/>
      <c r="U869" s="95"/>
      <c r="V869" s="95"/>
      <c r="W869" s="95"/>
      <c r="X869" s="95"/>
      <c r="Y869" s="95"/>
      <c r="Z869" s="95"/>
      <c r="AA869" s="95"/>
      <c r="AB869" s="95"/>
      <c r="AC869" s="95"/>
    </row>
    <row r="870" ht="15.75" customHeight="1" spans="1:29">
      <c r="A870" s="95"/>
      <c r="B870" s="95"/>
      <c r="C870" s="102"/>
      <c r="D870" s="95"/>
      <c r="E870" s="95"/>
      <c r="F870" s="95"/>
      <c r="G870" s="95"/>
      <c r="H870" s="95"/>
      <c r="I870" s="95"/>
      <c r="J870" s="105"/>
      <c r="K870" s="95"/>
      <c r="L870" s="95"/>
      <c r="M870" s="104"/>
      <c r="N870" s="95"/>
      <c r="O870" s="95"/>
      <c r="P870" s="95"/>
      <c r="Q870" s="95"/>
      <c r="R870" s="95"/>
      <c r="S870" s="95"/>
      <c r="T870" s="95"/>
      <c r="U870" s="95"/>
      <c r="V870" s="95"/>
      <c r="W870" s="95"/>
      <c r="X870" s="95"/>
      <c r="Y870" s="95"/>
      <c r="Z870" s="95"/>
      <c r="AA870" s="95"/>
      <c r="AB870" s="95"/>
      <c r="AC870" s="95"/>
    </row>
    <row r="871" ht="15.75" customHeight="1" spans="1:29">
      <c r="A871" s="95"/>
      <c r="B871" s="95"/>
      <c r="C871" s="102"/>
      <c r="D871" s="95"/>
      <c r="E871" s="95"/>
      <c r="F871" s="95"/>
      <c r="G871" s="95"/>
      <c r="H871" s="95"/>
      <c r="I871" s="95"/>
      <c r="J871" s="105"/>
      <c r="K871" s="95"/>
      <c r="L871" s="95"/>
      <c r="M871" s="104"/>
      <c r="N871" s="95"/>
      <c r="O871" s="95"/>
      <c r="P871" s="95"/>
      <c r="Q871" s="95"/>
      <c r="R871" s="95"/>
      <c r="S871" s="95"/>
      <c r="T871" s="95"/>
      <c r="U871" s="95"/>
      <c r="V871" s="95"/>
      <c r="W871" s="95"/>
      <c r="X871" s="95"/>
      <c r="Y871" s="95"/>
      <c r="Z871" s="95"/>
      <c r="AA871" s="95"/>
      <c r="AB871" s="95"/>
      <c r="AC871" s="95"/>
    </row>
    <row r="872" ht="15.75" customHeight="1" spans="1:29">
      <c r="A872" s="95"/>
      <c r="B872" s="95"/>
      <c r="C872" s="102"/>
      <c r="D872" s="95"/>
      <c r="E872" s="95"/>
      <c r="F872" s="95"/>
      <c r="G872" s="95"/>
      <c r="H872" s="95"/>
      <c r="I872" s="95"/>
      <c r="J872" s="105"/>
      <c r="K872" s="95"/>
      <c r="L872" s="95"/>
      <c r="M872" s="104"/>
      <c r="N872" s="95"/>
      <c r="O872" s="95"/>
      <c r="P872" s="95"/>
      <c r="Q872" s="95"/>
      <c r="R872" s="95"/>
      <c r="S872" s="95"/>
      <c r="T872" s="95"/>
      <c r="U872" s="95"/>
      <c r="V872" s="95"/>
      <c r="W872" s="95"/>
      <c r="X872" s="95"/>
      <c r="Y872" s="95"/>
      <c r="Z872" s="95"/>
      <c r="AA872" s="95"/>
      <c r="AB872" s="95"/>
      <c r="AC872" s="95"/>
    </row>
    <row r="873" ht="15.75" customHeight="1" spans="1:29">
      <c r="A873" s="95"/>
      <c r="B873" s="95"/>
      <c r="C873" s="102"/>
      <c r="D873" s="95"/>
      <c r="E873" s="95"/>
      <c r="F873" s="95"/>
      <c r="G873" s="95"/>
      <c r="H873" s="95"/>
      <c r="I873" s="95"/>
      <c r="J873" s="105"/>
      <c r="K873" s="95"/>
      <c r="L873" s="95"/>
      <c r="M873" s="104"/>
      <c r="N873" s="95"/>
      <c r="O873" s="95"/>
      <c r="P873" s="95"/>
      <c r="Q873" s="95"/>
      <c r="R873" s="95"/>
      <c r="S873" s="95"/>
      <c r="T873" s="95"/>
      <c r="U873" s="95"/>
      <c r="V873" s="95"/>
      <c r="W873" s="95"/>
      <c r="X873" s="95"/>
      <c r="Y873" s="95"/>
      <c r="Z873" s="95"/>
      <c r="AA873" s="95"/>
      <c r="AB873" s="95"/>
      <c r="AC873" s="95"/>
    </row>
    <row r="874" ht="15.75" customHeight="1" spans="1:29">
      <c r="A874" s="95"/>
      <c r="B874" s="95"/>
      <c r="C874" s="102"/>
      <c r="D874" s="95"/>
      <c r="E874" s="95"/>
      <c r="F874" s="95"/>
      <c r="G874" s="95"/>
      <c r="H874" s="95"/>
      <c r="I874" s="95"/>
      <c r="J874" s="105"/>
      <c r="K874" s="95"/>
      <c r="L874" s="95"/>
      <c r="M874" s="106"/>
      <c r="N874" s="95"/>
      <c r="O874" s="95"/>
      <c r="P874" s="95"/>
      <c r="Q874" s="95"/>
      <c r="R874" s="95"/>
      <c r="S874" s="95"/>
      <c r="T874" s="95"/>
      <c r="U874" s="95"/>
      <c r="V874" s="95"/>
      <c r="W874" s="95"/>
      <c r="X874" s="95"/>
      <c r="Y874" s="95"/>
      <c r="Z874" s="95"/>
      <c r="AA874" s="95"/>
      <c r="AB874" s="95"/>
      <c r="AC874" s="95"/>
    </row>
    <row r="875" ht="15.75" customHeight="1" spans="1:29">
      <c r="A875" s="95"/>
      <c r="B875" s="95"/>
      <c r="C875" s="102"/>
      <c r="D875" s="95"/>
      <c r="E875" s="95"/>
      <c r="F875" s="95"/>
      <c r="G875" s="95"/>
      <c r="H875" s="95"/>
      <c r="I875" s="95"/>
      <c r="J875" s="105"/>
      <c r="K875" s="95"/>
      <c r="L875" s="95"/>
      <c r="M875" s="104"/>
      <c r="N875" s="95"/>
      <c r="O875" s="95"/>
      <c r="P875" s="95"/>
      <c r="Q875" s="95"/>
      <c r="R875" s="95"/>
      <c r="S875" s="95"/>
      <c r="T875" s="95"/>
      <c r="U875" s="95"/>
      <c r="V875" s="95"/>
      <c r="W875" s="95"/>
      <c r="X875" s="95"/>
      <c r="Y875" s="95"/>
      <c r="Z875" s="95"/>
      <c r="AA875" s="95"/>
      <c r="AB875" s="95"/>
      <c r="AC875" s="95"/>
    </row>
    <row r="876" ht="15.75" customHeight="1" spans="1:29">
      <c r="A876" s="95"/>
      <c r="B876" s="95"/>
      <c r="C876" s="102"/>
      <c r="D876" s="95"/>
      <c r="E876" s="95"/>
      <c r="F876" s="95"/>
      <c r="G876" s="95"/>
      <c r="H876" s="95"/>
      <c r="I876" s="95"/>
      <c r="J876" s="105"/>
      <c r="K876" s="95"/>
      <c r="L876" s="95"/>
      <c r="M876" s="104"/>
      <c r="N876" s="95"/>
      <c r="O876" s="95"/>
      <c r="P876" s="95"/>
      <c r="Q876" s="95"/>
      <c r="R876" s="95"/>
      <c r="S876" s="95"/>
      <c r="T876" s="95"/>
      <c r="U876" s="95"/>
      <c r="V876" s="95"/>
      <c r="W876" s="95"/>
      <c r="X876" s="95"/>
      <c r="Y876" s="95"/>
      <c r="Z876" s="95"/>
      <c r="AA876" s="95"/>
      <c r="AB876" s="95"/>
      <c r="AC876" s="95"/>
    </row>
    <row r="877" ht="15.75" customHeight="1" spans="1:29">
      <c r="A877" s="95"/>
      <c r="B877" s="95"/>
      <c r="C877" s="102"/>
      <c r="D877" s="95"/>
      <c r="E877" s="95"/>
      <c r="F877" s="95"/>
      <c r="G877" s="95"/>
      <c r="H877" s="95"/>
      <c r="I877" s="95"/>
      <c r="J877" s="103"/>
      <c r="K877" s="95"/>
      <c r="L877" s="95"/>
      <c r="M877" s="104"/>
      <c r="N877" s="95"/>
      <c r="O877" s="95"/>
      <c r="P877" s="95"/>
      <c r="Q877" s="95"/>
      <c r="R877" s="95"/>
      <c r="S877" s="95"/>
      <c r="T877" s="95"/>
      <c r="U877" s="95"/>
      <c r="V877" s="95"/>
      <c r="W877" s="95"/>
      <c r="X877" s="95"/>
      <c r="Y877" s="95"/>
      <c r="Z877" s="95"/>
      <c r="AA877" s="95"/>
      <c r="AB877" s="95"/>
      <c r="AC877" s="95"/>
    </row>
    <row r="878" ht="15.75" customHeight="1" spans="1:29">
      <c r="A878" s="95"/>
      <c r="B878" s="95"/>
      <c r="C878" s="102"/>
      <c r="D878" s="95"/>
      <c r="E878" s="95"/>
      <c r="F878" s="95"/>
      <c r="G878" s="95"/>
      <c r="H878" s="95"/>
      <c r="I878" s="95"/>
      <c r="J878" s="105"/>
      <c r="K878" s="95"/>
      <c r="L878" s="95"/>
      <c r="M878" s="104"/>
      <c r="N878" s="95"/>
      <c r="O878" s="95"/>
      <c r="P878" s="95"/>
      <c r="Q878" s="95"/>
      <c r="R878" s="95"/>
      <c r="S878" s="95"/>
      <c r="T878" s="95"/>
      <c r="U878" s="95"/>
      <c r="V878" s="95"/>
      <c r="W878" s="95"/>
      <c r="X878" s="95"/>
      <c r="Y878" s="95"/>
      <c r="Z878" s="95"/>
      <c r="AA878" s="95"/>
      <c r="AB878" s="95"/>
      <c r="AC878" s="95"/>
    </row>
    <row r="879" ht="15.75" customHeight="1" spans="1:29">
      <c r="A879" s="95"/>
      <c r="B879" s="95"/>
      <c r="C879" s="102"/>
      <c r="D879" s="95"/>
      <c r="E879" s="95"/>
      <c r="F879" s="95"/>
      <c r="G879" s="95"/>
      <c r="H879" s="95"/>
      <c r="I879" s="95"/>
      <c r="J879" s="105"/>
      <c r="K879" s="95"/>
      <c r="L879" s="95"/>
      <c r="M879" s="104"/>
      <c r="N879" s="95"/>
      <c r="O879" s="95"/>
      <c r="P879" s="95"/>
      <c r="Q879" s="95"/>
      <c r="R879" s="95"/>
      <c r="S879" s="95"/>
      <c r="T879" s="95"/>
      <c r="U879" s="95"/>
      <c r="V879" s="95"/>
      <c r="W879" s="95"/>
      <c r="X879" s="95"/>
      <c r="Y879" s="95"/>
      <c r="Z879" s="95"/>
      <c r="AA879" s="95"/>
      <c r="AB879" s="95"/>
      <c r="AC879" s="95"/>
    </row>
    <row r="880" ht="15.75" customHeight="1" spans="1:29">
      <c r="A880" s="95"/>
      <c r="B880" s="95"/>
      <c r="C880" s="102"/>
      <c r="D880" s="95"/>
      <c r="E880" s="95"/>
      <c r="F880" s="95"/>
      <c r="G880" s="95"/>
      <c r="H880" s="95"/>
      <c r="I880" s="95"/>
      <c r="J880" s="105"/>
      <c r="K880" s="95"/>
      <c r="L880" s="95"/>
      <c r="M880" s="104"/>
      <c r="N880" s="95"/>
      <c r="O880" s="95"/>
      <c r="P880" s="95"/>
      <c r="Q880" s="95"/>
      <c r="R880" s="95"/>
      <c r="S880" s="95"/>
      <c r="T880" s="95"/>
      <c r="U880" s="95"/>
      <c r="V880" s="95"/>
      <c r="W880" s="95"/>
      <c r="X880" s="95"/>
      <c r="Y880" s="95"/>
      <c r="Z880" s="95"/>
      <c r="AA880" s="95"/>
      <c r="AB880" s="95"/>
      <c r="AC880" s="95"/>
    </row>
    <row r="881" ht="15.75" customHeight="1" spans="1:29">
      <c r="A881" s="95"/>
      <c r="B881" s="95"/>
      <c r="C881" s="102"/>
      <c r="D881" s="95"/>
      <c r="E881" s="95"/>
      <c r="F881" s="95"/>
      <c r="G881" s="95"/>
      <c r="H881" s="95"/>
      <c r="I881" s="95"/>
      <c r="J881" s="105"/>
      <c r="K881" s="95"/>
      <c r="L881" s="95"/>
      <c r="M881" s="104"/>
      <c r="N881" s="95"/>
      <c r="O881" s="95"/>
      <c r="P881" s="95"/>
      <c r="Q881" s="95"/>
      <c r="R881" s="95"/>
      <c r="S881" s="95"/>
      <c r="T881" s="95"/>
      <c r="U881" s="95"/>
      <c r="V881" s="95"/>
      <c r="W881" s="95"/>
      <c r="X881" s="95"/>
      <c r="Y881" s="95"/>
      <c r="Z881" s="95"/>
      <c r="AA881" s="95"/>
      <c r="AB881" s="95"/>
      <c r="AC881" s="95"/>
    </row>
    <row r="882" ht="15.75" customHeight="1" spans="1:29">
      <c r="A882" s="95"/>
      <c r="B882" s="95"/>
      <c r="C882" s="102"/>
      <c r="D882" s="95"/>
      <c r="E882" s="95"/>
      <c r="F882" s="95"/>
      <c r="G882" s="95"/>
      <c r="H882" s="95"/>
      <c r="I882" s="95"/>
      <c r="J882" s="105"/>
      <c r="K882" s="95"/>
      <c r="L882" s="95"/>
      <c r="M882" s="104"/>
      <c r="N882" s="95"/>
      <c r="O882" s="95"/>
      <c r="P882" s="95"/>
      <c r="Q882" s="95"/>
      <c r="R882" s="95"/>
      <c r="S882" s="95"/>
      <c r="T882" s="95"/>
      <c r="U882" s="95"/>
      <c r="V882" s="95"/>
      <c r="W882" s="95"/>
      <c r="X882" s="95"/>
      <c r="Y882" s="95"/>
      <c r="Z882" s="95"/>
      <c r="AA882" s="95"/>
      <c r="AB882" s="95"/>
      <c r="AC882" s="95"/>
    </row>
    <row r="883" ht="15.75" customHeight="1" spans="1:29">
      <c r="A883" s="95"/>
      <c r="B883" s="95"/>
      <c r="C883" s="102"/>
      <c r="D883" s="95"/>
      <c r="E883" s="95"/>
      <c r="F883" s="95"/>
      <c r="G883" s="95"/>
      <c r="H883" s="95"/>
      <c r="I883" s="95"/>
      <c r="J883" s="103"/>
      <c r="K883" s="95"/>
      <c r="L883" s="95"/>
      <c r="M883" s="104"/>
      <c r="N883" s="95"/>
      <c r="O883" s="95"/>
      <c r="P883" s="95"/>
      <c r="Q883" s="95"/>
      <c r="R883" s="95"/>
      <c r="S883" s="95"/>
      <c r="T883" s="95"/>
      <c r="U883" s="95"/>
      <c r="V883" s="95"/>
      <c r="W883" s="95"/>
      <c r="X883" s="95"/>
      <c r="Y883" s="95"/>
      <c r="Z883" s="95"/>
      <c r="AA883" s="95"/>
      <c r="AB883" s="95"/>
      <c r="AC883" s="95"/>
    </row>
    <row r="884" ht="15.75" customHeight="1" spans="1:29">
      <c r="A884" s="95"/>
      <c r="B884" s="95"/>
      <c r="C884" s="102"/>
      <c r="D884" s="95"/>
      <c r="E884" s="95"/>
      <c r="F884" s="95"/>
      <c r="G884" s="95"/>
      <c r="H884" s="95"/>
      <c r="I884" s="95"/>
      <c r="J884" s="103"/>
      <c r="K884" s="95"/>
      <c r="L884" s="95"/>
      <c r="M884" s="104"/>
      <c r="N884" s="95"/>
      <c r="O884" s="95"/>
      <c r="P884" s="95"/>
      <c r="Q884" s="95"/>
      <c r="R884" s="95"/>
      <c r="S884" s="95"/>
      <c r="T884" s="95"/>
      <c r="U884" s="95"/>
      <c r="V884" s="95"/>
      <c r="W884" s="95"/>
      <c r="X884" s="95"/>
      <c r="Y884" s="95"/>
      <c r="Z884" s="95"/>
      <c r="AA884" s="95"/>
      <c r="AB884" s="95"/>
      <c r="AC884" s="95"/>
    </row>
    <row r="885" ht="15.75" customHeight="1" spans="1:29">
      <c r="A885" s="95"/>
      <c r="B885" s="95"/>
      <c r="C885" s="102"/>
      <c r="D885" s="95"/>
      <c r="E885" s="95"/>
      <c r="F885" s="95"/>
      <c r="G885" s="95"/>
      <c r="H885" s="95"/>
      <c r="I885" s="95"/>
      <c r="J885" s="105"/>
      <c r="K885" s="95"/>
      <c r="L885" s="95"/>
      <c r="M885" s="104"/>
      <c r="N885" s="95"/>
      <c r="O885" s="95"/>
      <c r="P885" s="95"/>
      <c r="Q885" s="95"/>
      <c r="R885" s="95"/>
      <c r="S885" s="95"/>
      <c r="T885" s="95"/>
      <c r="U885" s="95"/>
      <c r="V885" s="95"/>
      <c r="W885" s="95"/>
      <c r="X885" s="95"/>
      <c r="Y885" s="95"/>
      <c r="Z885" s="95"/>
      <c r="AA885" s="95"/>
      <c r="AB885" s="95"/>
      <c r="AC885" s="95"/>
    </row>
    <row r="886" ht="15.75" customHeight="1" spans="1:29">
      <c r="A886" s="95"/>
      <c r="B886" s="95"/>
      <c r="C886" s="102"/>
      <c r="D886" s="95"/>
      <c r="E886" s="95"/>
      <c r="F886" s="95"/>
      <c r="G886" s="95"/>
      <c r="H886" s="95"/>
      <c r="I886" s="95"/>
      <c r="J886" s="105"/>
      <c r="K886" s="95"/>
      <c r="L886" s="95"/>
      <c r="M886" s="104"/>
      <c r="N886" s="95"/>
      <c r="O886" s="95"/>
      <c r="P886" s="95"/>
      <c r="Q886" s="95"/>
      <c r="R886" s="95"/>
      <c r="S886" s="95"/>
      <c r="T886" s="95"/>
      <c r="U886" s="95"/>
      <c r="V886" s="95"/>
      <c r="W886" s="95"/>
      <c r="X886" s="95"/>
      <c r="Y886" s="95"/>
      <c r="Z886" s="95"/>
      <c r="AA886" s="95"/>
      <c r="AB886" s="95"/>
      <c r="AC886" s="95"/>
    </row>
    <row r="887" ht="15.75" customHeight="1" spans="1:29">
      <c r="A887" s="95"/>
      <c r="B887" s="95"/>
      <c r="C887" s="102"/>
      <c r="D887" s="95"/>
      <c r="E887" s="95"/>
      <c r="F887" s="95"/>
      <c r="G887" s="95"/>
      <c r="H887" s="95"/>
      <c r="I887" s="95"/>
      <c r="J887" s="105"/>
      <c r="K887" s="95"/>
      <c r="L887" s="95"/>
      <c r="M887" s="104"/>
      <c r="N887" s="95"/>
      <c r="O887" s="95"/>
      <c r="P887" s="95"/>
      <c r="Q887" s="95"/>
      <c r="R887" s="95"/>
      <c r="S887" s="95"/>
      <c r="T887" s="95"/>
      <c r="U887" s="95"/>
      <c r="V887" s="95"/>
      <c r="W887" s="95"/>
      <c r="X887" s="95"/>
      <c r="Y887" s="95"/>
      <c r="Z887" s="95"/>
      <c r="AA887" s="95"/>
      <c r="AB887" s="95"/>
      <c r="AC887" s="95"/>
    </row>
    <row r="888" ht="15.75" customHeight="1" spans="1:29">
      <c r="A888" s="95"/>
      <c r="B888" s="95"/>
      <c r="C888" s="102"/>
      <c r="D888" s="95"/>
      <c r="E888" s="95"/>
      <c r="F888" s="95"/>
      <c r="G888" s="95"/>
      <c r="H888" s="95"/>
      <c r="I888" s="95"/>
      <c r="J888" s="105"/>
      <c r="K888" s="95"/>
      <c r="L888" s="95"/>
      <c r="M888" s="104"/>
      <c r="N888" s="95"/>
      <c r="O888" s="95"/>
      <c r="P888" s="95"/>
      <c r="Q888" s="95"/>
      <c r="R888" s="95"/>
      <c r="S888" s="95"/>
      <c r="T888" s="95"/>
      <c r="U888" s="95"/>
      <c r="V888" s="95"/>
      <c r="W888" s="95"/>
      <c r="X888" s="95"/>
      <c r="Y888" s="95"/>
      <c r="Z888" s="95"/>
      <c r="AA888" s="95"/>
      <c r="AB888" s="95"/>
      <c r="AC888" s="95"/>
    </row>
    <row r="889" ht="15.75" customHeight="1" spans="1:29">
      <c r="A889" s="95"/>
      <c r="B889" s="95"/>
      <c r="C889" s="102"/>
      <c r="D889" s="95"/>
      <c r="E889" s="95"/>
      <c r="F889" s="95"/>
      <c r="G889" s="95"/>
      <c r="H889" s="95"/>
      <c r="I889" s="95"/>
      <c r="J889" s="105"/>
      <c r="K889" s="95"/>
      <c r="L889" s="95"/>
      <c r="M889" s="104"/>
      <c r="N889" s="95"/>
      <c r="O889" s="95"/>
      <c r="P889" s="95"/>
      <c r="Q889" s="95"/>
      <c r="R889" s="95"/>
      <c r="S889" s="95"/>
      <c r="T889" s="95"/>
      <c r="U889" s="95"/>
      <c r="V889" s="95"/>
      <c r="W889" s="95"/>
      <c r="X889" s="95"/>
      <c r="Y889" s="95"/>
      <c r="Z889" s="95"/>
      <c r="AA889" s="95"/>
      <c r="AB889" s="95"/>
      <c r="AC889" s="95"/>
    </row>
    <row r="890" ht="15.75" customHeight="1" spans="1:29">
      <c r="A890" s="95"/>
      <c r="B890" s="95"/>
      <c r="C890" s="102"/>
      <c r="D890" s="95"/>
      <c r="E890" s="95"/>
      <c r="F890" s="95"/>
      <c r="G890" s="95"/>
      <c r="H890" s="95"/>
      <c r="I890" s="95"/>
      <c r="J890" s="105"/>
      <c r="K890" s="95"/>
      <c r="L890" s="95"/>
      <c r="M890" s="104"/>
      <c r="N890" s="95"/>
      <c r="O890" s="95"/>
      <c r="P890" s="95"/>
      <c r="Q890" s="95"/>
      <c r="R890" s="95"/>
      <c r="S890" s="95"/>
      <c r="T890" s="95"/>
      <c r="U890" s="95"/>
      <c r="V890" s="95"/>
      <c r="W890" s="95"/>
      <c r="X890" s="95"/>
      <c r="Y890" s="95"/>
      <c r="Z890" s="95"/>
      <c r="AA890" s="95"/>
      <c r="AB890" s="95"/>
      <c r="AC890" s="95"/>
    </row>
    <row r="891" ht="15.75" customHeight="1" spans="1:29">
      <c r="A891" s="95"/>
      <c r="B891" s="95"/>
      <c r="C891" s="102"/>
      <c r="D891" s="95"/>
      <c r="E891" s="95"/>
      <c r="F891" s="95"/>
      <c r="G891" s="95"/>
      <c r="H891" s="95"/>
      <c r="I891" s="95"/>
      <c r="J891" s="105"/>
      <c r="K891" s="95"/>
      <c r="L891" s="95"/>
      <c r="M891" s="104"/>
      <c r="N891" s="95"/>
      <c r="O891" s="95"/>
      <c r="P891" s="95"/>
      <c r="Q891" s="95"/>
      <c r="R891" s="95"/>
      <c r="S891" s="95"/>
      <c r="T891" s="95"/>
      <c r="U891" s="95"/>
      <c r="V891" s="95"/>
      <c r="W891" s="95"/>
      <c r="X891" s="95"/>
      <c r="Y891" s="95"/>
      <c r="Z891" s="95"/>
      <c r="AA891" s="95"/>
      <c r="AB891" s="95"/>
      <c r="AC891" s="95"/>
    </row>
    <row r="892" ht="15.75" customHeight="1" spans="1:29">
      <c r="A892" s="95"/>
      <c r="B892" s="95"/>
      <c r="C892" s="102"/>
      <c r="D892" s="95"/>
      <c r="E892" s="95"/>
      <c r="F892" s="95"/>
      <c r="G892" s="95"/>
      <c r="H892" s="95"/>
      <c r="I892" s="95"/>
      <c r="J892" s="105"/>
      <c r="K892" s="95"/>
      <c r="L892" s="95"/>
      <c r="M892" s="104"/>
      <c r="N892" s="95"/>
      <c r="O892" s="95"/>
      <c r="P892" s="95"/>
      <c r="Q892" s="95"/>
      <c r="R892" s="95"/>
      <c r="S892" s="95"/>
      <c r="T892" s="95"/>
      <c r="U892" s="95"/>
      <c r="V892" s="95"/>
      <c r="W892" s="95"/>
      <c r="X892" s="95"/>
      <c r="Y892" s="95"/>
      <c r="Z892" s="95"/>
      <c r="AA892" s="95"/>
      <c r="AB892" s="95"/>
      <c r="AC892" s="95"/>
    </row>
    <row r="893" ht="15.75" customHeight="1" spans="1:29">
      <c r="A893" s="95"/>
      <c r="B893" s="95"/>
      <c r="C893" s="102"/>
      <c r="D893" s="95"/>
      <c r="E893" s="95"/>
      <c r="F893" s="95"/>
      <c r="G893" s="95"/>
      <c r="H893" s="95"/>
      <c r="I893" s="95"/>
      <c r="J893" s="105"/>
      <c r="K893" s="95"/>
      <c r="L893" s="95"/>
      <c r="M893" s="104"/>
      <c r="N893" s="95"/>
      <c r="O893" s="95"/>
      <c r="P893" s="95"/>
      <c r="Q893" s="95"/>
      <c r="R893" s="95"/>
      <c r="S893" s="95"/>
      <c r="T893" s="95"/>
      <c r="U893" s="95"/>
      <c r="V893" s="95"/>
      <c r="W893" s="95"/>
      <c r="X893" s="95"/>
      <c r="Y893" s="95"/>
      <c r="Z893" s="95"/>
      <c r="AA893" s="95"/>
      <c r="AB893" s="95"/>
      <c r="AC893" s="95"/>
    </row>
    <row r="894" ht="15.75" customHeight="1" spans="1:29">
      <c r="A894" s="95"/>
      <c r="B894" s="95"/>
      <c r="C894" s="102"/>
      <c r="D894" s="95"/>
      <c r="E894" s="95"/>
      <c r="F894" s="95"/>
      <c r="G894" s="95"/>
      <c r="H894" s="95"/>
      <c r="I894" s="95"/>
      <c r="J894" s="105"/>
      <c r="K894" s="95"/>
      <c r="L894" s="95"/>
      <c r="M894" s="104"/>
      <c r="N894" s="95"/>
      <c r="O894" s="95"/>
      <c r="P894" s="95"/>
      <c r="Q894" s="95"/>
      <c r="R894" s="95"/>
      <c r="S894" s="95"/>
      <c r="T894" s="95"/>
      <c r="U894" s="95"/>
      <c r="V894" s="95"/>
      <c r="W894" s="95"/>
      <c r="X894" s="95"/>
      <c r="Y894" s="95"/>
      <c r="Z894" s="95"/>
      <c r="AA894" s="95"/>
      <c r="AB894" s="95"/>
      <c r="AC894" s="95"/>
    </row>
    <row r="895" ht="15.75" customHeight="1" spans="1:29">
      <c r="A895" s="95"/>
      <c r="B895" s="95"/>
      <c r="C895" s="102"/>
      <c r="D895" s="95"/>
      <c r="E895" s="95"/>
      <c r="F895" s="95"/>
      <c r="G895" s="95"/>
      <c r="H895" s="95"/>
      <c r="I895" s="95"/>
      <c r="J895" s="103"/>
      <c r="K895" s="95"/>
      <c r="L895" s="95"/>
      <c r="M895" s="104"/>
      <c r="N895" s="95"/>
      <c r="O895" s="95"/>
      <c r="P895" s="95"/>
      <c r="Q895" s="95"/>
      <c r="R895" s="95"/>
      <c r="S895" s="95"/>
      <c r="T895" s="95"/>
      <c r="U895" s="95"/>
      <c r="V895" s="95"/>
      <c r="W895" s="95"/>
      <c r="X895" s="95"/>
      <c r="Y895" s="95"/>
      <c r="Z895" s="95"/>
      <c r="AA895" s="95"/>
      <c r="AB895" s="95"/>
      <c r="AC895" s="95"/>
    </row>
    <row r="896" ht="15.75" customHeight="1" spans="1:29">
      <c r="A896" s="95"/>
      <c r="B896" s="95"/>
      <c r="C896" s="102"/>
      <c r="D896" s="95"/>
      <c r="E896" s="95"/>
      <c r="F896" s="95"/>
      <c r="G896" s="95"/>
      <c r="H896" s="95"/>
      <c r="I896" s="95"/>
      <c r="J896" s="105"/>
      <c r="K896" s="95"/>
      <c r="L896" s="95"/>
      <c r="M896" s="104"/>
      <c r="N896" s="95"/>
      <c r="O896" s="95"/>
      <c r="P896" s="95"/>
      <c r="Q896" s="95"/>
      <c r="R896" s="95"/>
      <c r="S896" s="95"/>
      <c r="T896" s="95"/>
      <c r="U896" s="95"/>
      <c r="V896" s="95"/>
      <c r="W896" s="95"/>
      <c r="X896" s="95"/>
      <c r="Y896" s="95"/>
      <c r="Z896" s="95"/>
      <c r="AA896" s="95"/>
      <c r="AB896" s="95"/>
      <c r="AC896" s="95"/>
    </row>
    <row r="897" ht="15.75" customHeight="1" spans="1:29">
      <c r="A897" s="95"/>
      <c r="B897" s="95"/>
      <c r="C897" s="102"/>
      <c r="D897" s="95"/>
      <c r="E897" s="95"/>
      <c r="F897" s="95"/>
      <c r="G897" s="95"/>
      <c r="H897" s="95"/>
      <c r="I897" s="95"/>
      <c r="J897" s="105"/>
      <c r="K897" s="95"/>
      <c r="L897" s="95"/>
      <c r="M897" s="104"/>
      <c r="N897" s="95"/>
      <c r="O897" s="95"/>
      <c r="P897" s="95"/>
      <c r="Q897" s="95"/>
      <c r="R897" s="95"/>
      <c r="S897" s="95"/>
      <c r="T897" s="95"/>
      <c r="U897" s="95"/>
      <c r="V897" s="95"/>
      <c r="W897" s="95"/>
      <c r="X897" s="95"/>
      <c r="Y897" s="95"/>
      <c r="Z897" s="95"/>
      <c r="AA897" s="95"/>
      <c r="AB897" s="95"/>
      <c r="AC897" s="95"/>
    </row>
    <row r="898" ht="15.75" customHeight="1" spans="1:29">
      <c r="A898" s="95"/>
      <c r="B898" s="95"/>
      <c r="C898" s="102"/>
      <c r="D898" s="95"/>
      <c r="E898" s="95"/>
      <c r="F898" s="95"/>
      <c r="G898" s="95"/>
      <c r="H898" s="95"/>
      <c r="I898" s="95"/>
      <c r="J898" s="105"/>
      <c r="K898" s="95"/>
      <c r="L898" s="95"/>
      <c r="M898" s="104"/>
      <c r="N898" s="95"/>
      <c r="O898" s="95"/>
      <c r="P898" s="95"/>
      <c r="Q898" s="95"/>
      <c r="R898" s="95"/>
      <c r="S898" s="95"/>
      <c r="T898" s="95"/>
      <c r="U898" s="95"/>
      <c r="V898" s="95"/>
      <c r="W898" s="95"/>
      <c r="X898" s="95"/>
      <c r="Y898" s="95"/>
      <c r="Z898" s="95"/>
      <c r="AA898" s="95"/>
      <c r="AB898" s="95"/>
      <c r="AC898" s="95"/>
    </row>
    <row r="899" ht="15.75" customHeight="1" spans="1:29">
      <c r="A899" s="95"/>
      <c r="B899" s="95"/>
      <c r="C899" s="102"/>
      <c r="D899" s="95"/>
      <c r="E899" s="95"/>
      <c r="F899" s="95"/>
      <c r="G899" s="95"/>
      <c r="H899" s="95"/>
      <c r="I899" s="95"/>
      <c r="J899" s="105"/>
      <c r="K899" s="95"/>
      <c r="L899" s="95"/>
      <c r="M899" s="104"/>
      <c r="N899" s="95"/>
      <c r="O899" s="95"/>
      <c r="P899" s="95"/>
      <c r="Q899" s="95"/>
      <c r="R899" s="95"/>
      <c r="S899" s="95"/>
      <c r="T899" s="95"/>
      <c r="U899" s="95"/>
      <c r="V899" s="95"/>
      <c r="W899" s="95"/>
      <c r="X899" s="95"/>
      <c r="Y899" s="95"/>
      <c r="Z899" s="95"/>
      <c r="AA899" s="95"/>
      <c r="AB899" s="95"/>
      <c r="AC899" s="95"/>
    </row>
    <row r="900" ht="15.75" customHeight="1" spans="1:29">
      <c r="A900" s="95"/>
      <c r="B900" s="95"/>
      <c r="C900" s="102"/>
      <c r="D900" s="95"/>
      <c r="E900" s="95"/>
      <c r="F900" s="95"/>
      <c r="G900" s="95"/>
      <c r="H900" s="95"/>
      <c r="I900" s="95"/>
      <c r="J900" s="103"/>
      <c r="K900" s="95"/>
      <c r="L900" s="95"/>
      <c r="M900" s="104"/>
      <c r="N900" s="95"/>
      <c r="O900" s="95"/>
      <c r="P900" s="95"/>
      <c r="Q900" s="95"/>
      <c r="R900" s="95"/>
      <c r="S900" s="95"/>
      <c r="T900" s="95"/>
      <c r="U900" s="95"/>
      <c r="V900" s="95"/>
      <c r="W900" s="95"/>
      <c r="X900" s="95"/>
      <c r="Y900" s="95"/>
      <c r="Z900" s="95"/>
      <c r="AA900" s="95"/>
      <c r="AB900" s="95"/>
      <c r="AC900" s="95"/>
    </row>
    <row r="901" ht="15.75" customHeight="1" spans="1:29">
      <c r="A901" s="95"/>
      <c r="B901" s="95"/>
      <c r="C901" s="102"/>
      <c r="D901" s="95"/>
      <c r="E901" s="95"/>
      <c r="F901" s="95"/>
      <c r="G901" s="95"/>
      <c r="H901" s="95"/>
      <c r="I901" s="95"/>
      <c r="J901" s="103"/>
      <c r="K901" s="95"/>
      <c r="L901" s="95"/>
      <c r="M901" s="104"/>
      <c r="N901" s="95"/>
      <c r="O901" s="95"/>
      <c r="P901" s="95"/>
      <c r="Q901" s="95"/>
      <c r="R901" s="95"/>
      <c r="S901" s="95"/>
      <c r="T901" s="95"/>
      <c r="U901" s="95"/>
      <c r="V901" s="95"/>
      <c r="W901" s="95"/>
      <c r="X901" s="95"/>
      <c r="Y901" s="95"/>
      <c r="Z901" s="95"/>
      <c r="AA901" s="95"/>
      <c r="AB901" s="95"/>
      <c r="AC901" s="95"/>
    </row>
    <row r="902" ht="15.75" customHeight="1" spans="1:29">
      <c r="A902" s="95"/>
      <c r="B902" s="95"/>
      <c r="C902" s="102"/>
      <c r="D902" s="95"/>
      <c r="E902" s="95"/>
      <c r="F902" s="95"/>
      <c r="G902" s="95"/>
      <c r="H902" s="95"/>
      <c r="I902" s="95"/>
      <c r="J902" s="105"/>
      <c r="K902" s="95"/>
      <c r="L902" s="95"/>
      <c r="M902" s="106"/>
      <c r="N902" s="95"/>
      <c r="O902" s="95"/>
      <c r="P902" s="95"/>
      <c r="Q902" s="95"/>
      <c r="R902" s="95"/>
      <c r="S902" s="95"/>
      <c r="T902" s="95"/>
      <c r="U902" s="95"/>
      <c r="V902" s="95"/>
      <c r="W902" s="95"/>
      <c r="X902" s="95"/>
      <c r="Y902" s="95"/>
      <c r="Z902" s="95"/>
      <c r="AA902" s="95"/>
      <c r="AB902" s="95"/>
      <c r="AC902" s="95"/>
    </row>
    <row r="903" ht="15.75" customHeight="1" spans="1:29">
      <c r="A903" s="95"/>
      <c r="B903" s="95"/>
      <c r="C903" s="102"/>
      <c r="D903" s="95"/>
      <c r="E903" s="95"/>
      <c r="F903" s="95"/>
      <c r="G903" s="95"/>
      <c r="H903" s="95"/>
      <c r="I903" s="95"/>
      <c r="J903" s="105"/>
      <c r="K903" s="95"/>
      <c r="L903" s="95"/>
      <c r="M903" s="104"/>
      <c r="N903" s="95"/>
      <c r="O903" s="95"/>
      <c r="P903" s="95"/>
      <c r="Q903" s="95"/>
      <c r="R903" s="95"/>
      <c r="S903" s="95"/>
      <c r="T903" s="95"/>
      <c r="U903" s="95"/>
      <c r="V903" s="95"/>
      <c r="W903" s="95"/>
      <c r="X903" s="95"/>
      <c r="Y903" s="95"/>
      <c r="Z903" s="95"/>
      <c r="AA903" s="95"/>
      <c r="AB903" s="95"/>
      <c r="AC903" s="95"/>
    </row>
    <row r="904" ht="15.75" customHeight="1" spans="1:29">
      <c r="A904" s="95"/>
      <c r="B904" s="95"/>
      <c r="C904" s="102"/>
      <c r="D904" s="95"/>
      <c r="E904" s="95"/>
      <c r="F904" s="95"/>
      <c r="G904" s="95"/>
      <c r="H904" s="95"/>
      <c r="I904" s="95"/>
      <c r="J904" s="105"/>
      <c r="K904" s="95"/>
      <c r="L904" s="95"/>
      <c r="M904" s="104"/>
      <c r="N904" s="95"/>
      <c r="O904" s="95"/>
      <c r="P904" s="95"/>
      <c r="Q904" s="95"/>
      <c r="R904" s="95"/>
      <c r="S904" s="95"/>
      <c r="T904" s="95"/>
      <c r="U904" s="95"/>
      <c r="V904" s="95"/>
      <c r="W904" s="95"/>
      <c r="X904" s="95"/>
      <c r="Y904" s="95"/>
      <c r="Z904" s="95"/>
      <c r="AA904" s="95"/>
      <c r="AB904" s="95"/>
      <c r="AC904" s="95"/>
    </row>
    <row r="905" ht="15.75" customHeight="1" spans="1:29">
      <c r="A905" s="95"/>
      <c r="B905" s="95"/>
      <c r="C905" s="102"/>
      <c r="D905" s="95"/>
      <c r="E905" s="95"/>
      <c r="F905" s="95"/>
      <c r="G905" s="95"/>
      <c r="H905" s="95"/>
      <c r="I905" s="95"/>
      <c r="J905" s="105"/>
      <c r="K905" s="95"/>
      <c r="L905" s="95"/>
      <c r="M905" s="104"/>
      <c r="N905" s="95"/>
      <c r="O905" s="95"/>
      <c r="P905" s="95"/>
      <c r="Q905" s="95"/>
      <c r="R905" s="95"/>
      <c r="S905" s="95"/>
      <c r="T905" s="95"/>
      <c r="U905" s="95"/>
      <c r="V905" s="95"/>
      <c r="W905" s="95"/>
      <c r="X905" s="95"/>
      <c r="Y905" s="95"/>
      <c r="Z905" s="95"/>
      <c r="AA905" s="95"/>
      <c r="AB905" s="95"/>
      <c r="AC905" s="95"/>
    </row>
    <row r="906" ht="15.75" customHeight="1" spans="1:29">
      <c r="A906" s="95"/>
      <c r="B906" s="95"/>
      <c r="C906" s="102"/>
      <c r="D906" s="95"/>
      <c r="E906" s="95"/>
      <c r="F906" s="95"/>
      <c r="G906" s="95"/>
      <c r="H906" s="95"/>
      <c r="I906" s="95"/>
      <c r="J906" s="105"/>
      <c r="K906" s="95"/>
      <c r="L906" s="95"/>
      <c r="M906" s="104"/>
      <c r="N906" s="95"/>
      <c r="O906" s="95"/>
      <c r="P906" s="95"/>
      <c r="Q906" s="95"/>
      <c r="R906" s="95"/>
      <c r="S906" s="95"/>
      <c r="T906" s="95"/>
      <c r="U906" s="95"/>
      <c r="V906" s="95"/>
      <c r="W906" s="95"/>
      <c r="X906" s="95"/>
      <c r="Y906" s="95"/>
      <c r="Z906" s="95"/>
      <c r="AA906" s="95"/>
      <c r="AB906" s="95"/>
      <c r="AC906" s="95"/>
    </row>
    <row r="907" ht="15.75" customHeight="1" spans="1:29">
      <c r="A907" s="95"/>
      <c r="B907" s="95"/>
      <c r="C907" s="102"/>
      <c r="D907" s="95"/>
      <c r="E907" s="95"/>
      <c r="F907" s="95"/>
      <c r="G907" s="95"/>
      <c r="H907" s="95"/>
      <c r="I907" s="95"/>
      <c r="J907" s="105"/>
      <c r="K907" s="95"/>
      <c r="L907" s="95"/>
      <c r="M907" s="104"/>
      <c r="N907" s="95"/>
      <c r="O907" s="95"/>
      <c r="P907" s="95"/>
      <c r="Q907" s="95"/>
      <c r="R907" s="95"/>
      <c r="S907" s="95"/>
      <c r="T907" s="95"/>
      <c r="U907" s="95"/>
      <c r="V907" s="95"/>
      <c r="W907" s="95"/>
      <c r="X907" s="95"/>
      <c r="Y907" s="95"/>
      <c r="Z907" s="95"/>
      <c r="AA907" s="95"/>
      <c r="AB907" s="95"/>
      <c r="AC907" s="95"/>
    </row>
    <row r="908" ht="15.75" customHeight="1" spans="1:29">
      <c r="A908" s="95"/>
      <c r="B908" s="95"/>
      <c r="C908" s="102"/>
      <c r="D908" s="95"/>
      <c r="E908" s="95"/>
      <c r="F908" s="95"/>
      <c r="G908" s="95"/>
      <c r="H908" s="95"/>
      <c r="I908" s="95"/>
      <c r="J908" s="105"/>
      <c r="K908" s="95"/>
      <c r="L908" s="95"/>
      <c r="M908" s="104"/>
      <c r="N908" s="95"/>
      <c r="O908" s="95"/>
      <c r="P908" s="95"/>
      <c r="Q908" s="95"/>
      <c r="R908" s="95"/>
      <c r="S908" s="95"/>
      <c r="T908" s="95"/>
      <c r="U908" s="95"/>
      <c r="V908" s="95"/>
      <c r="W908" s="95"/>
      <c r="X908" s="95"/>
      <c r="Y908" s="95"/>
      <c r="Z908" s="95"/>
      <c r="AA908" s="95"/>
      <c r="AB908" s="95"/>
      <c r="AC908" s="95"/>
    </row>
    <row r="909" ht="15.75" customHeight="1" spans="1:29">
      <c r="A909" s="95"/>
      <c r="B909" s="95"/>
      <c r="C909" s="102"/>
      <c r="D909" s="95"/>
      <c r="E909" s="95"/>
      <c r="F909" s="95"/>
      <c r="G909" s="95"/>
      <c r="H909" s="95"/>
      <c r="I909" s="95"/>
      <c r="J909" s="105"/>
      <c r="K909" s="95"/>
      <c r="L909" s="95"/>
      <c r="M909" s="104"/>
      <c r="N909" s="95"/>
      <c r="O909" s="95"/>
      <c r="P909" s="95"/>
      <c r="Q909" s="95"/>
      <c r="R909" s="95"/>
      <c r="S909" s="95"/>
      <c r="T909" s="95"/>
      <c r="U909" s="95"/>
      <c r="V909" s="95"/>
      <c r="W909" s="95"/>
      <c r="X909" s="95"/>
      <c r="Y909" s="95"/>
      <c r="Z909" s="95"/>
      <c r="AA909" s="95"/>
      <c r="AB909" s="95"/>
      <c r="AC909" s="95"/>
    </row>
    <row r="910" ht="15.75" customHeight="1" spans="1:29">
      <c r="A910" s="95"/>
      <c r="B910" s="95"/>
      <c r="C910" s="102"/>
      <c r="D910" s="95"/>
      <c r="E910" s="95"/>
      <c r="F910" s="95"/>
      <c r="G910" s="95"/>
      <c r="H910" s="95"/>
      <c r="I910" s="95"/>
      <c r="J910" s="103"/>
      <c r="K910" s="95"/>
      <c r="L910" s="95"/>
      <c r="M910" s="104"/>
      <c r="N910" s="95"/>
      <c r="O910" s="95"/>
      <c r="P910" s="95"/>
      <c r="Q910" s="95"/>
      <c r="R910" s="95"/>
      <c r="S910" s="95"/>
      <c r="T910" s="95"/>
      <c r="U910" s="95"/>
      <c r="V910" s="95"/>
      <c r="W910" s="95"/>
      <c r="X910" s="95"/>
      <c r="Y910" s="95"/>
      <c r="Z910" s="95"/>
      <c r="AA910" s="95"/>
      <c r="AB910" s="95"/>
      <c r="AC910" s="95"/>
    </row>
    <row r="911" ht="15.75" customHeight="1" spans="1:29">
      <c r="A911" s="95"/>
      <c r="B911" s="95"/>
      <c r="C911" s="102"/>
      <c r="D911" s="95"/>
      <c r="E911" s="95"/>
      <c r="F911" s="95"/>
      <c r="G911" s="95"/>
      <c r="H911" s="95"/>
      <c r="I911" s="95"/>
      <c r="J911" s="103"/>
      <c r="K911" s="95"/>
      <c r="L911" s="95"/>
      <c r="M911" s="104"/>
      <c r="N911" s="95"/>
      <c r="O911" s="95"/>
      <c r="P911" s="95"/>
      <c r="Q911" s="95"/>
      <c r="R911" s="95"/>
      <c r="S911" s="95"/>
      <c r="T911" s="95"/>
      <c r="U911" s="95"/>
      <c r="V911" s="95"/>
      <c r="W911" s="95"/>
      <c r="X911" s="95"/>
      <c r="Y911" s="95"/>
      <c r="Z911" s="95"/>
      <c r="AA911" s="95"/>
      <c r="AB911" s="95"/>
      <c r="AC911" s="95"/>
    </row>
    <row r="912" ht="15.75" customHeight="1" spans="1:29">
      <c r="A912" s="95"/>
      <c r="B912" s="95"/>
      <c r="C912" s="102"/>
      <c r="D912" s="95"/>
      <c r="E912" s="95"/>
      <c r="F912" s="95"/>
      <c r="G912" s="95"/>
      <c r="H912" s="95"/>
      <c r="I912" s="95"/>
      <c r="J912" s="105"/>
      <c r="K912" s="95"/>
      <c r="L912" s="95"/>
      <c r="M912" s="104"/>
      <c r="N912" s="95"/>
      <c r="O912" s="95"/>
      <c r="P912" s="95"/>
      <c r="Q912" s="95"/>
      <c r="R912" s="95"/>
      <c r="S912" s="95"/>
      <c r="T912" s="95"/>
      <c r="U912" s="95"/>
      <c r="V912" s="95"/>
      <c r="W912" s="95"/>
      <c r="X912" s="95"/>
      <c r="Y912" s="95"/>
      <c r="Z912" s="95"/>
      <c r="AA912" s="95"/>
      <c r="AB912" s="95"/>
      <c r="AC912" s="95"/>
    </row>
    <row r="913" ht="15.75" customHeight="1" spans="1:29">
      <c r="A913" s="95"/>
      <c r="B913" s="95"/>
      <c r="C913" s="102"/>
      <c r="D913" s="95"/>
      <c r="E913" s="95"/>
      <c r="F913" s="95"/>
      <c r="G913" s="95"/>
      <c r="H913" s="95"/>
      <c r="I913" s="95"/>
      <c r="J913" s="105"/>
      <c r="K913" s="95"/>
      <c r="L913" s="95"/>
      <c r="M913" s="104"/>
      <c r="N913" s="95"/>
      <c r="O913" s="95"/>
      <c r="P913" s="95"/>
      <c r="Q913" s="95"/>
      <c r="R913" s="95"/>
      <c r="S913" s="95"/>
      <c r="T913" s="95"/>
      <c r="U913" s="95"/>
      <c r="V913" s="95"/>
      <c r="W913" s="95"/>
      <c r="X913" s="95"/>
      <c r="Y913" s="95"/>
      <c r="Z913" s="95"/>
      <c r="AA913" s="95"/>
      <c r="AB913" s="95"/>
      <c r="AC913" s="95"/>
    </row>
    <row r="914" ht="15.75" customHeight="1" spans="1:29">
      <c r="A914" s="95"/>
      <c r="B914" s="95"/>
      <c r="C914" s="102"/>
      <c r="D914" s="95"/>
      <c r="E914" s="95"/>
      <c r="F914" s="95"/>
      <c r="G914" s="95"/>
      <c r="H914" s="95"/>
      <c r="I914" s="95"/>
      <c r="J914" s="103"/>
      <c r="K914" s="95"/>
      <c r="L914" s="95"/>
      <c r="M914" s="104"/>
      <c r="N914" s="95"/>
      <c r="O914" s="95"/>
      <c r="P914" s="95"/>
      <c r="Q914" s="95"/>
      <c r="R914" s="95"/>
      <c r="S914" s="95"/>
      <c r="T914" s="95"/>
      <c r="U914" s="95"/>
      <c r="V914" s="95"/>
      <c r="W914" s="95"/>
      <c r="X914" s="95"/>
      <c r="Y914" s="95"/>
      <c r="Z914" s="95"/>
      <c r="AA914" s="95"/>
      <c r="AB914" s="95"/>
      <c r="AC914" s="95"/>
    </row>
    <row r="915" ht="15.75" customHeight="1" spans="1:29">
      <c r="A915" s="95"/>
      <c r="B915" s="95"/>
      <c r="C915" s="102"/>
      <c r="D915" s="95"/>
      <c r="E915" s="95"/>
      <c r="F915" s="95"/>
      <c r="G915" s="95"/>
      <c r="H915" s="95"/>
      <c r="I915" s="95"/>
      <c r="J915" s="105"/>
      <c r="K915" s="95"/>
      <c r="L915" s="95"/>
      <c r="M915" s="104"/>
      <c r="N915" s="95"/>
      <c r="O915" s="95"/>
      <c r="P915" s="95"/>
      <c r="Q915" s="95"/>
      <c r="R915" s="95"/>
      <c r="S915" s="95"/>
      <c r="T915" s="95"/>
      <c r="U915" s="95"/>
      <c r="V915" s="95"/>
      <c r="W915" s="95"/>
      <c r="X915" s="95"/>
      <c r="Y915" s="95"/>
      <c r="Z915" s="95"/>
      <c r="AA915" s="95"/>
      <c r="AB915" s="95"/>
      <c r="AC915" s="95"/>
    </row>
    <row r="916" ht="15.75" customHeight="1" spans="1:29">
      <c r="A916" s="95"/>
      <c r="B916" s="95"/>
      <c r="C916" s="102"/>
      <c r="D916" s="95"/>
      <c r="E916" s="95"/>
      <c r="F916" s="95"/>
      <c r="G916" s="95"/>
      <c r="H916" s="95"/>
      <c r="I916" s="95"/>
      <c r="J916" s="103"/>
      <c r="K916" s="95"/>
      <c r="L916" s="95"/>
      <c r="M916" s="104"/>
      <c r="N916" s="95"/>
      <c r="O916" s="95"/>
      <c r="P916" s="95"/>
      <c r="Q916" s="95"/>
      <c r="R916" s="95"/>
      <c r="S916" s="95"/>
      <c r="T916" s="95"/>
      <c r="U916" s="95"/>
      <c r="V916" s="95"/>
      <c r="W916" s="95"/>
      <c r="X916" s="95"/>
      <c r="Y916" s="95"/>
      <c r="Z916" s="95"/>
      <c r="AA916" s="95"/>
      <c r="AB916" s="95"/>
      <c r="AC916" s="95"/>
    </row>
    <row r="917" ht="15.75" customHeight="1" spans="1:29">
      <c r="A917" s="95"/>
      <c r="B917" s="95"/>
      <c r="C917" s="102"/>
      <c r="D917" s="95"/>
      <c r="E917" s="95"/>
      <c r="F917" s="95"/>
      <c r="G917" s="95"/>
      <c r="H917" s="95"/>
      <c r="I917" s="95"/>
      <c r="J917" s="103"/>
      <c r="K917" s="95"/>
      <c r="L917" s="95"/>
      <c r="M917" s="104"/>
      <c r="N917" s="95"/>
      <c r="O917" s="95"/>
      <c r="P917" s="95"/>
      <c r="Q917" s="95"/>
      <c r="R917" s="95"/>
      <c r="S917" s="95"/>
      <c r="T917" s="95"/>
      <c r="U917" s="95"/>
      <c r="V917" s="95"/>
      <c r="W917" s="95"/>
      <c r="X917" s="95"/>
      <c r="Y917" s="95"/>
      <c r="Z917" s="95"/>
      <c r="AA917" s="95"/>
      <c r="AB917" s="95"/>
      <c r="AC917" s="95"/>
    </row>
    <row r="918" ht="15.75" customHeight="1" spans="1:29">
      <c r="A918" s="95"/>
      <c r="B918" s="95"/>
      <c r="C918" s="102"/>
      <c r="D918" s="95"/>
      <c r="E918" s="95"/>
      <c r="F918" s="95"/>
      <c r="G918" s="95"/>
      <c r="H918" s="95"/>
      <c r="I918" s="95"/>
      <c r="J918" s="105"/>
      <c r="K918" s="95"/>
      <c r="L918" s="95"/>
      <c r="M918" s="106"/>
      <c r="N918" s="95"/>
      <c r="O918" s="95"/>
      <c r="P918" s="95"/>
      <c r="Q918" s="95"/>
      <c r="R918" s="95"/>
      <c r="S918" s="95"/>
      <c r="T918" s="95"/>
      <c r="U918" s="95"/>
      <c r="V918" s="95"/>
      <c r="W918" s="95"/>
      <c r="X918" s="95"/>
      <c r="Y918" s="95"/>
      <c r="Z918" s="95"/>
      <c r="AA918" s="95"/>
      <c r="AB918" s="95"/>
      <c r="AC918" s="95"/>
    </row>
    <row r="919" ht="15.75" customHeight="1" spans="1:29">
      <c r="A919" s="95"/>
      <c r="B919" s="95"/>
      <c r="C919" s="102"/>
      <c r="D919" s="95"/>
      <c r="E919" s="95"/>
      <c r="F919" s="95"/>
      <c r="G919" s="95"/>
      <c r="H919" s="95"/>
      <c r="I919" s="95"/>
      <c r="J919" s="105"/>
      <c r="K919" s="95"/>
      <c r="L919" s="95"/>
      <c r="M919" s="104"/>
      <c r="N919" s="95"/>
      <c r="O919" s="95"/>
      <c r="P919" s="95"/>
      <c r="Q919" s="95"/>
      <c r="R919" s="95"/>
      <c r="S919" s="95"/>
      <c r="T919" s="95"/>
      <c r="U919" s="95"/>
      <c r="V919" s="95"/>
      <c r="W919" s="95"/>
      <c r="X919" s="95"/>
      <c r="Y919" s="95"/>
      <c r="Z919" s="95"/>
      <c r="AA919" s="95"/>
      <c r="AB919" s="95"/>
      <c r="AC919" s="95"/>
    </row>
    <row r="920" ht="15.75" customHeight="1" spans="1:29">
      <c r="A920" s="95"/>
      <c r="B920" s="95"/>
      <c r="C920" s="102"/>
      <c r="D920" s="95"/>
      <c r="E920" s="95"/>
      <c r="F920" s="95"/>
      <c r="G920" s="95"/>
      <c r="H920" s="95"/>
      <c r="I920" s="95"/>
      <c r="J920" s="105"/>
      <c r="K920" s="95"/>
      <c r="L920" s="95"/>
      <c r="M920" s="104"/>
      <c r="N920" s="95"/>
      <c r="O920" s="95"/>
      <c r="P920" s="95"/>
      <c r="Q920" s="95"/>
      <c r="R920" s="95"/>
      <c r="S920" s="95"/>
      <c r="T920" s="95"/>
      <c r="U920" s="95"/>
      <c r="V920" s="95"/>
      <c r="W920" s="95"/>
      <c r="X920" s="95"/>
      <c r="Y920" s="95"/>
      <c r="Z920" s="95"/>
      <c r="AA920" s="95"/>
      <c r="AB920" s="95"/>
      <c r="AC920" s="95"/>
    </row>
    <row r="921" ht="15.75" customHeight="1" spans="1:29">
      <c r="A921" s="95"/>
      <c r="B921" s="95"/>
      <c r="C921" s="102"/>
      <c r="D921" s="95"/>
      <c r="E921" s="95"/>
      <c r="F921" s="95"/>
      <c r="G921" s="95"/>
      <c r="H921" s="95"/>
      <c r="I921" s="95"/>
      <c r="J921" s="105"/>
      <c r="K921" s="95"/>
      <c r="L921" s="95"/>
      <c r="M921" s="104"/>
      <c r="N921" s="95"/>
      <c r="O921" s="95"/>
      <c r="P921" s="95"/>
      <c r="Q921" s="95"/>
      <c r="R921" s="95"/>
      <c r="S921" s="95"/>
      <c r="T921" s="95"/>
      <c r="U921" s="95"/>
      <c r="V921" s="95"/>
      <c r="W921" s="95"/>
      <c r="X921" s="95"/>
      <c r="Y921" s="95"/>
      <c r="Z921" s="95"/>
      <c r="AA921" s="95"/>
      <c r="AB921" s="95"/>
      <c r="AC921" s="95"/>
    </row>
    <row r="922" ht="15.75" customHeight="1" spans="1:29">
      <c r="A922" s="95"/>
      <c r="B922" s="95"/>
      <c r="C922" s="102"/>
      <c r="D922" s="95"/>
      <c r="E922" s="95"/>
      <c r="F922" s="95"/>
      <c r="G922" s="95"/>
      <c r="H922" s="95"/>
      <c r="I922" s="95"/>
      <c r="J922" s="105"/>
      <c r="K922" s="95"/>
      <c r="L922" s="95"/>
      <c r="M922" s="104"/>
      <c r="N922" s="95"/>
      <c r="O922" s="95"/>
      <c r="P922" s="95"/>
      <c r="Q922" s="95"/>
      <c r="R922" s="95"/>
      <c r="S922" s="95"/>
      <c r="T922" s="95"/>
      <c r="U922" s="95"/>
      <c r="V922" s="95"/>
      <c r="W922" s="95"/>
      <c r="X922" s="95"/>
      <c r="Y922" s="95"/>
      <c r="Z922" s="95"/>
      <c r="AA922" s="95"/>
      <c r="AB922" s="95"/>
      <c r="AC922" s="95"/>
    </row>
    <row r="923" ht="15.75" customHeight="1" spans="1:29">
      <c r="A923" s="95"/>
      <c r="B923" s="95"/>
      <c r="C923" s="102"/>
      <c r="D923" s="95"/>
      <c r="E923" s="95"/>
      <c r="F923" s="95"/>
      <c r="G923" s="95"/>
      <c r="H923" s="95"/>
      <c r="I923" s="95"/>
      <c r="J923" s="105"/>
      <c r="K923" s="95"/>
      <c r="L923" s="95"/>
      <c r="M923" s="104"/>
      <c r="N923" s="95"/>
      <c r="O923" s="95"/>
      <c r="P923" s="95"/>
      <c r="Q923" s="95"/>
      <c r="R923" s="95"/>
      <c r="S923" s="95"/>
      <c r="T923" s="95"/>
      <c r="U923" s="95"/>
      <c r="V923" s="95"/>
      <c r="W923" s="95"/>
      <c r="X923" s="95"/>
      <c r="Y923" s="95"/>
      <c r="Z923" s="95"/>
      <c r="AA923" s="95"/>
      <c r="AB923" s="95"/>
      <c r="AC923" s="95"/>
    </row>
    <row r="924" ht="15.75" customHeight="1" spans="1:29">
      <c r="A924" s="95"/>
      <c r="B924" s="95"/>
      <c r="C924" s="102"/>
      <c r="D924" s="95"/>
      <c r="E924" s="95"/>
      <c r="F924" s="95"/>
      <c r="G924" s="95"/>
      <c r="H924" s="95"/>
      <c r="I924" s="95"/>
      <c r="J924" s="103"/>
      <c r="K924" s="95"/>
      <c r="L924" s="95"/>
      <c r="M924" s="104"/>
      <c r="N924" s="95"/>
      <c r="O924" s="95"/>
      <c r="P924" s="95"/>
      <c r="Q924" s="95"/>
      <c r="R924" s="95"/>
      <c r="S924" s="95"/>
      <c r="T924" s="95"/>
      <c r="U924" s="95"/>
      <c r="V924" s="95"/>
      <c r="W924" s="95"/>
      <c r="X924" s="95"/>
      <c r="Y924" s="95"/>
      <c r="Z924" s="95"/>
      <c r="AA924" s="95"/>
      <c r="AB924" s="95"/>
      <c r="AC924" s="95"/>
    </row>
    <row r="925" ht="15.75" customHeight="1" spans="1:29">
      <c r="A925" s="95"/>
      <c r="B925" s="95"/>
      <c r="C925" s="102"/>
      <c r="D925" s="95"/>
      <c r="E925" s="95"/>
      <c r="F925" s="95"/>
      <c r="G925" s="95"/>
      <c r="H925" s="95"/>
      <c r="I925" s="95"/>
      <c r="J925" s="105"/>
      <c r="K925" s="95"/>
      <c r="L925" s="95"/>
      <c r="M925" s="104"/>
      <c r="N925" s="95"/>
      <c r="O925" s="95"/>
      <c r="P925" s="95"/>
      <c r="Q925" s="95"/>
      <c r="R925" s="95"/>
      <c r="S925" s="95"/>
      <c r="T925" s="95"/>
      <c r="U925" s="95"/>
      <c r="V925" s="95"/>
      <c r="W925" s="95"/>
      <c r="X925" s="95"/>
      <c r="Y925" s="95"/>
      <c r="Z925" s="95"/>
      <c r="AA925" s="95"/>
      <c r="AB925" s="95"/>
      <c r="AC925" s="95"/>
    </row>
    <row r="926" ht="15.75" customHeight="1" spans="1:29">
      <c r="A926" s="95"/>
      <c r="B926" s="95"/>
      <c r="C926" s="102"/>
      <c r="D926" s="95"/>
      <c r="E926" s="95"/>
      <c r="F926" s="95"/>
      <c r="G926" s="95"/>
      <c r="H926" s="95"/>
      <c r="I926" s="95"/>
      <c r="J926" s="105"/>
      <c r="K926" s="95"/>
      <c r="L926" s="95"/>
      <c r="M926" s="104"/>
      <c r="N926" s="95"/>
      <c r="O926" s="95"/>
      <c r="P926" s="95"/>
      <c r="Q926" s="95"/>
      <c r="R926" s="95"/>
      <c r="S926" s="95"/>
      <c r="T926" s="95"/>
      <c r="U926" s="95"/>
      <c r="V926" s="95"/>
      <c r="W926" s="95"/>
      <c r="X926" s="95"/>
      <c r="Y926" s="95"/>
      <c r="Z926" s="95"/>
      <c r="AA926" s="95"/>
      <c r="AB926" s="95"/>
      <c r="AC926" s="95"/>
    </row>
    <row r="927" ht="15.75" customHeight="1" spans="1:29">
      <c r="A927" s="95"/>
      <c r="B927" s="95"/>
      <c r="C927" s="102"/>
      <c r="D927" s="95"/>
      <c r="E927" s="95"/>
      <c r="F927" s="95"/>
      <c r="G927" s="95"/>
      <c r="H927" s="95"/>
      <c r="I927" s="95"/>
      <c r="J927" s="105"/>
      <c r="K927" s="95"/>
      <c r="L927" s="95"/>
      <c r="M927" s="104"/>
      <c r="N927" s="95"/>
      <c r="O927" s="95"/>
      <c r="P927" s="95"/>
      <c r="Q927" s="95"/>
      <c r="R927" s="95"/>
      <c r="S927" s="95"/>
      <c r="T927" s="95"/>
      <c r="U927" s="95"/>
      <c r="V927" s="95"/>
      <c r="W927" s="95"/>
      <c r="X927" s="95"/>
      <c r="Y927" s="95"/>
      <c r="Z927" s="95"/>
      <c r="AA927" s="95"/>
      <c r="AB927" s="95"/>
      <c r="AC927" s="95"/>
    </row>
    <row r="928" ht="15.75" customHeight="1" spans="1:29">
      <c r="A928" s="95"/>
      <c r="B928" s="95"/>
      <c r="C928" s="102"/>
      <c r="D928" s="95"/>
      <c r="E928" s="95"/>
      <c r="F928" s="95"/>
      <c r="G928" s="95"/>
      <c r="H928" s="95"/>
      <c r="I928" s="95"/>
      <c r="J928" s="105"/>
      <c r="K928" s="95"/>
      <c r="L928" s="95"/>
      <c r="M928" s="104"/>
      <c r="N928" s="95"/>
      <c r="O928" s="95"/>
      <c r="P928" s="95"/>
      <c r="Q928" s="95"/>
      <c r="R928" s="95"/>
      <c r="S928" s="95"/>
      <c r="T928" s="95"/>
      <c r="U928" s="95"/>
      <c r="V928" s="95"/>
      <c r="W928" s="95"/>
      <c r="X928" s="95"/>
      <c r="Y928" s="95"/>
      <c r="Z928" s="95"/>
      <c r="AA928" s="95"/>
      <c r="AB928" s="95"/>
      <c r="AC928" s="95"/>
    </row>
    <row r="929" ht="15.75" customHeight="1" spans="1:29">
      <c r="A929" s="95"/>
      <c r="B929" s="95"/>
      <c r="C929" s="102"/>
      <c r="D929" s="95"/>
      <c r="E929" s="95"/>
      <c r="F929" s="95"/>
      <c r="G929" s="95"/>
      <c r="H929" s="95"/>
      <c r="I929" s="95"/>
      <c r="J929" s="105"/>
      <c r="K929" s="95"/>
      <c r="L929" s="95"/>
      <c r="M929" s="104"/>
      <c r="N929" s="95"/>
      <c r="O929" s="95"/>
      <c r="P929" s="95"/>
      <c r="Q929" s="95"/>
      <c r="R929" s="95"/>
      <c r="S929" s="95"/>
      <c r="T929" s="95"/>
      <c r="U929" s="95"/>
      <c r="V929" s="95"/>
      <c r="W929" s="95"/>
      <c r="X929" s="95"/>
      <c r="Y929" s="95"/>
      <c r="Z929" s="95"/>
      <c r="AA929" s="95"/>
      <c r="AB929" s="95"/>
      <c r="AC929" s="95"/>
    </row>
    <row r="930" ht="15.75" customHeight="1" spans="1:29">
      <c r="A930" s="95"/>
      <c r="B930" s="95"/>
      <c r="C930" s="102"/>
      <c r="D930" s="95"/>
      <c r="E930" s="95"/>
      <c r="F930" s="95"/>
      <c r="G930" s="95"/>
      <c r="H930" s="95"/>
      <c r="I930" s="95"/>
      <c r="J930" s="105"/>
      <c r="K930" s="95"/>
      <c r="L930" s="95"/>
      <c r="M930" s="106"/>
      <c r="N930" s="95"/>
      <c r="O930" s="95"/>
      <c r="P930" s="95"/>
      <c r="Q930" s="95"/>
      <c r="R930" s="95"/>
      <c r="S930" s="95"/>
      <c r="T930" s="95"/>
      <c r="U930" s="95"/>
      <c r="V930" s="95"/>
      <c r="W930" s="95"/>
      <c r="X930" s="95"/>
      <c r="Y930" s="95"/>
      <c r="Z930" s="95"/>
      <c r="AA930" s="95"/>
      <c r="AB930" s="95"/>
      <c r="AC930" s="95"/>
    </row>
    <row r="931" ht="15.75" customHeight="1" spans="1:29">
      <c r="A931" s="95"/>
      <c r="B931" s="95"/>
      <c r="C931" s="102"/>
      <c r="D931" s="95"/>
      <c r="E931" s="95"/>
      <c r="F931" s="95"/>
      <c r="G931" s="95"/>
      <c r="H931" s="95"/>
      <c r="I931" s="95"/>
      <c r="J931" s="105"/>
      <c r="K931" s="95"/>
      <c r="L931" s="95"/>
      <c r="M931" s="104"/>
      <c r="N931" s="95"/>
      <c r="O931" s="95"/>
      <c r="P931" s="95"/>
      <c r="Q931" s="95"/>
      <c r="R931" s="95"/>
      <c r="S931" s="95"/>
      <c r="T931" s="95"/>
      <c r="U931" s="95"/>
      <c r="V931" s="95"/>
      <c r="W931" s="95"/>
      <c r="X931" s="95"/>
      <c r="Y931" s="95"/>
      <c r="Z931" s="95"/>
      <c r="AA931" s="95"/>
      <c r="AB931" s="95"/>
      <c r="AC931" s="95"/>
    </row>
    <row r="932" ht="15.75" customHeight="1" spans="1:29">
      <c r="A932" s="95"/>
      <c r="B932" s="95"/>
      <c r="C932" s="102"/>
      <c r="D932" s="95"/>
      <c r="E932" s="95"/>
      <c r="F932" s="95"/>
      <c r="G932" s="95"/>
      <c r="H932" s="95"/>
      <c r="I932" s="95"/>
      <c r="J932" s="105"/>
      <c r="K932" s="95"/>
      <c r="L932" s="95"/>
      <c r="M932" s="104"/>
      <c r="N932" s="95"/>
      <c r="O932" s="95"/>
      <c r="P932" s="95"/>
      <c r="Q932" s="95"/>
      <c r="R932" s="95"/>
      <c r="S932" s="95"/>
      <c r="T932" s="95"/>
      <c r="U932" s="95"/>
      <c r="V932" s="95"/>
      <c r="W932" s="95"/>
      <c r="X932" s="95"/>
      <c r="Y932" s="95"/>
      <c r="Z932" s="95"/>
      <c r="AA932" s="95"/>
      <c r="AB932" s="95"/>
      <c r="AC932" s="95"/>
    </row>
    <row r="933" ht="15.75" customHeight="1" spans="1:29">
      <c r="A933" s="95"/>
      <c r="B933" s="95"/>
      <c r="C933" s="102"/>
      <c r="D933" s="95"/>
      <c r="E933" s="95"/>
      <c r="F933" s="95"/>
      <c r="G933" s="95"/>
      <c r="H933" s="95"/>
      <c r="I933" s="95"/>
      <c r="J933" s="105"/>
      <c r="K933" s="95"/>
      <c r="L933" s="95"/>
      <c r="M933" s="106"/>
      <c r="N933" s="95"/>
      <c r="O933" s="95"/>
      <c r="P933" s="95"/>
      <c r="Q933" s="95"/>
      <c r="R933" s="95"/>
      <c r="S933" s="95"/>
      <c r="T933" s="95"/>
      <c r="U933" s="95"/>
      <c r="V933" s="95"/>
      <c r="W933" s="95"/>
      <c r="X933" s="95"/>
      <c r="Y933" s="95"/>
      <c r="Z933" s="95"/>
      <c r="AA933" s="95"/>
      <c r="AB933" s="95"/>
      <c r="AC933" s="95"/>
    </row>
    <row r="934" ht="15.75" customHeight="1" spans="1:29">
      <c r="A934" s="95"/>
      <c r="B934" s="95"/>
      <c r="C934" s="102"/>
      <c r="D934" s="95"/>
      <c r="E934" s="95"/>
      <c r="F934" s="95"/>
      <c r="G934" s="95"/>
      <c r="H934" s="95"/>
      <c r="I934" s="95"/>
      <c r="J934" s="105"/>
      <c r="K934" s="95"/>
      <c r="L934" s="95"/>
      <c r="M934" s="104"/>
      <c r="N934" s="95"/>
      <c r="O934" s="95"/>
      <c r="P934" s="95"/>
      <c r="Q934" s="95"/>
      <c r="R934" s="95"/>
      <c r="S934" s="95"/>
      <c r="T934" s="95"/>
      <c r="U934" s="95"/>
      <c r="V934" s="95"/>
      <c r="W934" s="95"/>
      <c r="X934" s="95"/>
      <c r="Y934" s="95"/>
      <c r="Z934" s="95"/>
      <c r="AA934" s="95"/>
      <c r="AB934" s="95"/>
      <c r="AC934" s="95"/>
    </row>
    <row r="935" ht="15.75" customHeight="1" spans="1:29">
      <c r="A935" s="95"/>
      <c r="B935" s="95"/>
      <c r="C935" s="102"/>
      <c r="D935" s="95"/>
      <c r="E935" s="95"/>
      <c r="F935" s="95"/>
      <c r="G935" s="95"/>
      <c r="H935" s="95"/>
      <c r="I935" s="95"/>
      <c r="J935" s="105"/>
      <c r="K935" s="95"/>
      <c r="L935" s="95"/>
      <c r="M935" s="104"/>
      <c r="N935" s="95"/>
      <c r="O935" s="95"/>
      <c r="P935" s="95"/>
      <c r="Q935" s="95"/>
      <c r="R935" s="95"/>
      <c r="S935" s="95"/>
      <c r="T935" s="95"/>
      <c r="U935" s="95"/>
      <c r="V935" s="95"/>
      <c r="W935" s="95"/>
      <c r="X935" s="95"/>
      <c r="Y935" s="95"/>
      <c r="Z935" s="95"/>
      <c r="AA935" s="95"/>
      <c r="AB935" s="95"/>
      <c r="AC935" s="95"/>
    </row>
    <row r="936" ht="15.75" customHeight="1" spans="1:29">
      <c r="A936" s="95"/>
      <c r="B936" s="95"/>
      <c r="C936" s="102"/>
      <c r="D936" s="95"/>
      <c r="E936" s="95"/>
      <c r="F936" s="95"/>
      <c r="G936" s="95"/>
      <c r="H936" s="95"/>
      <c r="I936" s="95"/>
      <c r="J936" s="105"/>
      <c r="K936" s="95"/>
      <c r="L936" s="95"/>
      <c r="M936" s="104"/>
      <c r="N936" s="95"/>
      <c r="O936" s="95"/>
      <c r="P936" s="95"/>
      <c r="Q936" s="95"/>
      <c r="R936" s="95"/>
      <c r="S936" s="95"/>
      <c r="T936" s="95"/>
      <c r="U936" s="95"/>
      <c r="V936" s="95"/>
      <c r="W936" s="95"/>
      <c r="X936" s="95"/>
      <c r="Y936" s="95"/>
      <c r="Z936" s="95"/>
      <c r="AA936" s="95"/>
      <c r="AB936" s="95"/>
      <c r="AC936" s="95"/>
    </row>
    <row r="937" ht="15.75" customHeight="1" spans="1:29">
      <c r="A937" s="95"/>
      <c r="B937" s="95"/>
      <c r="C937" s="102"/>
      <c r="D937" s="95"/>
      <c r="E937" s="95"/>
      <c r="F937" s="95"/>
      <c r="G937" s="95"/>
      <c r="H937" s="95"/>
      <c r="I937" s="95"/>
      <c r="J937" s="105"/>
      <c r="K937" s="95"/>
      <c r="L937" s="95"/>
      <c r="M937" s="104"/>
      <c r="N937" s="95"/>
      <c r="O937" s="95"/>
      <c r="P937" s="95"/>
      <c r="Q937" s="95"/>
      <c r="R937" s="95"/>
      <c r="S937" s="95"/>
      <c r="T937" s="95"/>
      <c r="U937" s="95"/>
      <c r="V937" s="95"/>
      <c r="W937" s="95"/>
      <c r="X937" s="95"/>
      <c r="Y937" s="95"/>
      <c r="Z937" s="95"/>
      <c r="AA937" s="95"/>
      <c r="AB937" s="95"/>
      <c r="AC937" s="95"/>
    </row>
    <row r="938" ht="15.75" customHeight="1" spans="1:29">
      <c r="A938" s="95"/>
      <c r="B938" s="95"/>
      <c r="C938" s="102"/>
      <c r="D938" s="95"/>
      <c r="E938" s="95"/>
      <c r="F938" s="95"/>
      <c r="G938" s="95"/>
      <c r="H938" s="95"/>
      <c r="I938" s="95"/>
      <c r="J938" s="105"/>
      <c r="K938" s="95"/>
      <c r="L938" s="95"/>
      <c r="M938" s="104"/>
      <c r="N938" s="95"/>
      <c r="O938" s="95"/>
      <c r="P938" s="95"/>
      <c r="Q938" s="95"/>
      <c r="R938" s="95"/>
      <c r="S938" s="95"/>
      <c r="T938" s="95"/>
      <c r="U938" s="95"/>
      <c r="V938" s="95"/>
      <c r="W938" s="95"/>
      <c r="X938" s="95"/>
      <c r="Y938" s="95"/>
      <c r="Z938" s="95"/>
      <c r="AA938" s="95"/>
      <c r="AB938" s="95"/>
      <c r="AC938" s="95"/>
    </row>
    <row r="939" ht="15.75" customHeight="1" spans="1:29">
      <c r="A939" s="95"/>
      <c r="B939" s="95"/>
      <c r="C939" s="102"/>
      <c r="D939" s="95"/>
      <c r="E939" s="95"/>
      <c r="F939" s="95"/>
      <c r="G939" s="95"/>
      <c r="H939" s="95"/>
      <c r="I939" s="95"/>
      <c r="J939" s="103"/>
      <c r="K939" s="95"/>
      <c r="L939" s="95"/>
      <c r="M939" s="104"/>
      <c r="N939" s="95"/>
      <c r="O939" s="95"/>
      <c r="P939" s="95"/>
      <c r="Q939" s="95"/>
      <c r="R939" s="95"/>
      <c r="S939" s="95"/>
      <c r="T939" s="95"/>
      <c r="U939" s="95"/>
      <c r="V939" s="95"/>
      <c r="W939" s="95"/>
      <c r="X939" s="95"/>
      <c r="Y939" s="95"/>
      <c r="Z939" s="95"/>
      <c r="AA939" s="95"/>
      <c r="AB939" s="95"/>
      <c r="AC939" s="95"/>
    </row>
    <row r="940" ht="15.75" customHeight="1" spans="1:29">
      <c r="A940" s="95"/>
      <c r="B940" s="95"/>
      <c r="C940" s="102"/>
      <c r="D940" s="95"/>
      <c r="E940" s="95"/>
      <c r="F940" s="95"/>
      <c r="G940" s="95"/>
      <c r="H940" s="95"/>
      <c r="I940" s="95"/>
      <c r="J940" s="105"/>
      <c r="K940" s="95"/>
      <c r="L940" s="95"/>
      <c r="M940" s="104"/>
      <c r="N940" s="95"/>
      <c r="O940" s="95"/>
      <c r="P940" s="95"/>
      <c r="Q940" s="95"/>
      <c r="R940" s="95"/>
      <c r="S940" s="95"/>
      <c r="T940" s="95"/>
      <c r="U940" s="95"/>
      <c r="V940" s="95"/>
      <c r="W940" s="95"/>
      <c r="X940" s="95"/>
      <c r="Y940" s="95"/>
      <c r="Z940" s="95"/>
      <c r="AA940" s="95"/>
      <c r="AB940" s="95"/>
      <c r="AC940" s="95"/>
    </row>
    <row r="941" ht="15.75" customHeight="1" spans="1:29">
      <c r="A941" s="95"/>
      <c r="B941" s="95"/>
      <c r="C941" s="102"/>
      <c r="D941" s="95"/>
      <c r="E941" s="95"/>
      <c r="F941" s="95"/>
      <c r="G941" s="95"/>
      <c r="H941" s="95"/>
      <c r="I941" s="95"/>
      <c r="J941" s="105"/>
      <c r="K941" s="95"/>
      <c r="L941" s="95"/>
      <c r="M941" s="104"/>
      <c r="N941" s="95"/>
      <c r="O941" s="95"/>
      <c r="P941" s="95"/>
      <c r="Q941" s="95"/>
      <c r="R941" s="95"/>
      <c r="S941" s="95"/>
      <c r="T941" s="95"/>
      <c r="U941" s="95"/>
      <c r="V941" s="95"/>
      <c r="W941" s="95"/>
      <c r="X941" s="95"/>
      <c r="Y941" s="95"/>
      <c r="Z941" s="95"/>
      <c r="AA941" s="95"/>
      <c r="AB941" s="95"/>
      <c r="AC941" s="95"/>
    </row>
    <row r="942" ht="15.75" customHeight="1" spans="1:29">
      <c r="A942" s="95"/>
      <c r="B942" s="95"/>
      <c r="C942" s="102"/>
      <c r="D942" s="95"/>
      <c r="E942" s="95"/>
      <c r="F942" s="95"/>
      <c r="G942" s="95"/>
      <c r="H942" s="95"/>
      <c r="I942" s="95"/>
      <c r="J942" s="105"/>
      <c r="K942" s="95"/>
      <c r="L942" s="95"/>
      <c r="M942" s="106"/>
      <c r="N942" s="95"/>
      <c r="O942" s="95"/>
      <c r="P942" s="95"/>
      <c r="Q942" s="95"/>
      <c r="R942" s="95"/>
      <c r="S942" s="95"/>
      <c r="T942" s="95"/>
      <c r="U942" s="95"/>
      <c r="V942" s="95"/>
      <c r="W942" s="95"/>
      <c r="X942" s="95"/>
      <c r="Y942" s="95"/>
      <c r="Z942" s="95"/>
      <c r="AA942" s="95"/>
      <c r="AB942" s="95"/>
      <c r="AC942" s="95"/>
    </row>
    <row r="943" ht="15.75" customHeight="1" spans="1:29">
      <c r="A943" s="95"/>
      <c r="B943" s="95"/>
      <c r="C943" s="102"/>
      <c r="D943" s="95"/>
      <c r="E943" s="95"/>
      <c r="F943" s="95"/>
      <c r="G943" s="95"/>
      <c r="H943" s="95"/>
      <c r="I943" s="95"/>
      <c r="J943" s="105"/>
      <c r="K943" s="95"/>
      <c r="L943" s="95"/>
      <c r="M943" s="104"/>
      <c r="N943" s="95"/>
      <c r="O943" s="95"/>
      <c r="P943" s="95"/>
      <c r="Q943" s="95"/>
      <c r="R943" s="95"/>
      <c r="S943" s="95"/>
      <c r="T943" s="95"/>
      <c r="U943" s="95"/>
      <c r="V943" s="95"/>
      <c r="W943" s="95"/>
      <c r="X943" s="95"/>
      <c r="Y943" s="95"/>
      <c r="Z943" s="95"/>
      <c r="AA943" s="95"/>
      <c r="AB943" s="95"/>
      <c r="AC943" s="95"/>
    </row>
    <row r="944" ht="15.75" customHeight="1" spans="1:29">
      <c r="A944" s="95"/>
      <c r="B944" s="95"/>
      <c r="C944" s="102"/>
      <c r="D944" s="95"/>
      <c r="E944" s="95"/>
      <c r="F944" s="95"/>
      <c r="G944" s="95"/>
      <c r="H944" s="95"/>
      <c r="I944" s="95"/>
      <c r="J944" s="105"/>
      <c r="K944" s="95"/>
      <c r="L944" s="95"/>
      <c r="M944" s="104"/>
      <c r="N944" s="95"/>
      <c r="O944" s="95"/>
      <c r="P944" s="95"/>
      <c r="Q944" s="95"/>
      <c r="R944" s="95"/>
      <c r="S944" s="95"/>
      <c r="T944" s="95"/>
      <c r="U944" s="95"/>
      <c r="V944" s="95"/>
      <c r="W944" s="95"/>
      <c r="X944" s="95"/>
      <c r="Y944" s="95"/>
      <c r="Z944" s="95"/>
      <c r="AA944" s="95"/>
      <c r="AB944" s="95"/>
      <c r="AC944" s="95"/>
    </row>
    <row r="945" ht="15.75" customHeight="1" spans="1:29">
      <c r="A945" s="95"/>
      <c r="B945" s="95"/>
      <c r="C945" s="102"/>
      <c r="D945" s="95"/>
      <c r="E945" s="95"/>
      <c r="F945" s="95"/>
      <c r="G945" s="95"/>
      <c r="H945" s="95"/>
      <c r="I945" s="95"/>
      <c r="J945" s="105"/>
      <c r="K945" s="95"/>
      <c r="L945" s="95"/>
      <c r="M945" s="104"/>
      <c r="N945" s="95"/>
      <c r="O945" s="95"/>
      <c r="P945" s="95"/>
      <c r="Q945" s="95"/>
      <c r="R945" s="95"/>
      <c r="S945" s="95"/>
      <c r="T945" s="95"/>
      <c r="U945" s="95"/>
      <c r="V945" s="95"/>
      <c r="W945" s="95"/>
      <c r="X945" s="95"/>
      <c r="Y945" s="95"/>
      <c r="Z945" s="95"/>
      <c r="AA945" s="95"/>
      <c r="AB945" s="95"/>
      <c r="AC945" s="95"/>
    </row>
    <row r="946" ht="15.75" customHeight="1" spans="1:29">
      <c r="A946" s="95"/>
      <c r="B946" s="95"/>
      <c r="C946" s="102"/>
      <c r="D946" s="95"/>
      <c r="E946" s="95"/>
      <c r="F946" s="95"/>
      <c r="G946" s="95"/>
      <c r="H946" s="95"/>
      <c r="I946" s="95"/>
      <c r="J946" s="103"/>
      <c r="K946" s="95"/>
      <c r="L946" s="95"/>
      <c r="M946" s="104"/>
      <c r="N946" s="95"/>
      <c r="O946" s="95"/>
      <c r="P946" s="95"/>
      <c r="Q946" s="95"/>
      <c r="R946" s="95"/>
      <c r="S946" s="95"/>
      <c r="T946" s="95"/>
      <c r="U946" s="95"/>
      <c r="V946" s="95"/>
      <c r="W946" s="95"/>
      <c r="X946" s="95"/>
      <c r="Y946" s="95"/>
      <c r="Z946" s="95"/>
      <c r="AA946" s="95"/>
      <c r="AB946" s="95"/>
      <c r="AC946" s="95"/>
    </row>
    <row r="947" ht="15.75" customHeight="1" spans="1:29">
      <c r="A947" s="95"/>
      <c r="B947" s="95"/>
      <c r="C947" s="102"/>
      <c r="D947" s="95"/>
      <c r="E947" s="95"/>
      <c r="F947" s="95"/>
      <c r="G947" s="95"/>
      <c r="H947" s="95"/>
      <c r="I947" s="95"/>
      <c r="J947" s="103"/>
      <c r="K947" s="95"/>
      <c r="L947" s="95"/>
      <c r="M947" s="106"/>
      <c r="N947" s="95"/>
      <c r="O947" s="95"/>
      <c r="P947" s="95"/>
      <c r="Q947" s="95"/>
      <c r="R947" s="95"/>
      <c r="S947" s="95"/>
      <c r="T947" s="95"/>
      <c r="U947" s="95"/>
      <c r="V947" s="95"/>
      <c r="W947" s="95"/>
      <c r="X947" s="95"/>
      <c r="Y947" s="95"/>
      <c r="Z947" s="95"/>
      <c r="AA947" s="95"/>
      <c r="AB947" s="95"/>
      <c r="AC947" s="95"/>
    </row>
    <row r="948" ht="15.75" customHeight="1" spans="1:29">
      <c r="A948" s="95"/>
      <c r="B948" s="95"/>
      <c r="C948" s="102"/>
      <c r="D948" s="95"/>
      <c r="E948" s="95"/>
      <c r="F948" s="95"/>
      <c r="G948" s="95"/>
      <c r="H948" s="95"/>
      <c r="I948" s="95"/>
      <c r="J948" s="103"/>
      <c r="K948" s="95"/>
      <c r="L948" s="95"/>
      <c r="M948" s="104"/>
      <c r="N948" s="95"/>
      <c r="O948" s="95"/>
      <c r="P948" s="95"/>
      <c r="Q948" s="95"/>
      <c r="R948" s="95"/>
      <c r="S948" s="95"/>
      <c r="T948" s="95"/>
      <c r="U948" s="95"/>
      <c r="V948" s="95"/>
      <c r="W948" s="95"/>
      <c r="X948" s="95"/>
      <c r="Y948" s="95"/>
      <c r="Z948" s="95"/>
      <c r="AA948" s="95"/>
      <c r="AB948" s="95"/>
      <c r="AC948" s="95"/>
    </row>
    <row r="949" ht="15.75" customHeight="1" spans="1:29">
      <c r="A949" s="95"/>
      <c r="B949" s="95"/>
      <c r="C949" s="102"/>
      <c r="D949" s="95"/>
      <c r="E949" s="95"/>
      <c r="F949" s="95"/>
      <c r="G949" s="95"/>
      <c r="H949" s="95"/>
      <c r="I949" s="95"/>
      <c r="J949" s="103"/>
      <c r="K949" s="95"/>
      <c r="L949" s="95"/>
      <c r="M949" s="104"/>
      <c r="N949" s="95"/>
      <c r="O949" s="95"/>
      <c r="P949" s="95"/>
      <c r="Q949" s="95"/>
      <c r="R949" s="95"/>
      <c r="S949" s="95"/>
      <c r="T949" s="95"/>
      <c r="U949" s="95"/>
      <c r="V949" s="95"/>
      <c r="W949" s="95"/>
      <c r="X949" s="95"/>
      <c r="Y949" s="95"/>
      <c r="Z949" s="95"/>
      <c r="AA949" s="95"/>
      <c r="AB949" s="95"/>
      <c r="AC949" s="95"/>
    </row>
    <row r="950" ht="15.75" customHeight="1" spans="1:29">
      <c r="A950" s="95"/>
      <c r="B950" s="95"/>
      <c r="C950" s="102"/>
      <c r="D950" s="95"/>
      <c r="E950" s="95"/>
      <c r="F950" s="95"/>
      <c r="G950" s="95"/>
      <c r="H950" s="95"/>
      <c r="I950" s="95"/>
      <c r="J950" s="103"/>
      <c r="K950" s="95"/>
      <c r="L950" s="95"/>
      <c r="M950" s="104"/>
      <c r="N950" s="95"/>
      <c r="O950" s="95"/>
      <c r="P950" s="95"/>
      <c r="Q950" s="95"/>
      <c r="R950" s="95"/>
      <c r="S950" s="95"/>
      <c r="T950" s="95"/>
      <c r="U950" s="95"/>
      <c r="V950" s="95"/>
      <c r="W950" s="95"/>
      <c r="X950" s="95"/>
      <c r="Y950" s="95"/>
      <c r="Z950" s="95"/>
      <c r="AA950" s="95"/>
      <c r="AB950" s="95"/>
      <c r="AC950" s="95"/>
    </row>
    <row r="951" ht="15.75" customHeight="1" spans="1:29">
      <c r="A951" s="95"/>
      <c r="B951" s="95"/>
      <c r="C951" s="102"/>
      <c r="D951" s="95"/>
      <c r="E951" s="95"/>
      <c r="F951" s="95"/>
      <c r="G951" s="95"/>
      <c r="H951" s="95"/>
      <c r="I951" s="95"/>
      <c r="J951" s="105"/>
      <c r="K951" s="95"/>
      <c r="L951" s="95"/>
      <c r="M951" s="106"/>
      <c r="N951" s="95"/>
      <c r="O951" s="95"/>
      <c r="P951" s="95"/>
      <c r="Q951" s="95"/>
      <c r="R951" s="95"/>
      <c r="S951" s="95"/>
      <c r="T951" s="95"/>
      <c r="U951" s="95"/>
      <c r="V951" s="95"/>
      <c r="W951" s="95"/>
      <c r="X951" s="95"/>
      <c r="Y951" s="95"/>
      <c r="Z951" s="95"/>
      <c r="AA951" s="95"/>
      <c r="AB951" s="95"/>
      <c r="AC951" s="95"/>
    </row>
    <row r="952" ht="15.75" customHeight="1" spans="1:29">
      <c r="A952" s="95"/>
      <c r="B952" s="95"/>
      <c r="C952" s="102"/>
      <c r="D952" s="95"/>
      <c r="E952" s="95"/>
      <c r="F952" s="95"/>
      <c r="G952" s="95"/>
      <c r="H952" s="95"/>
      <c r="I952" s="95"/>
      <c r="J952" s="105"/>
      <c r="K952" s="95"/>
      <c r="L952" s="95"/>
      <c r="M952" s="104"/>
      <c r="N952" s="95"/>
      <c r="O952" s="95"/>
      <c r="P952" s="95"/>
      <c r="Q952" s="95"/>
      <c r="R952" s="95"/>
      <c r="S952" s="95"/>
      <c r="T952" s="95"/>
      <c r="U952" s="95"/>
      <c r="V952" s="95"/>
      <c r="W952" s="95"/>
      <c r="X952" s="95"/>
      <c r="Y952" s="95"/>
      <c r="Z952" s="95"/>
      <c r="AA952" s="95"/>
      <c r="AB952" s="95"/>
      <c r="AC952" s="95"/>
    </row>
    <row r="953" ht="15.75" customHeight="1" spans="1:29">
      <c r="A953" s="95"/>
      <c r="B953" s="95"/>
      <c r="C953" s="102"/>
      <c r="D953" s="95"/>
      <c r="E953" s="95"/>
      <c r="F953" s="95"/>
      <c r="G953" s="95"/>
      <c r="H953" s="95"/>
      <c r="I953" s="95"/>
      <c r="J953" s="105"/>
      <c r="K953" s="95"/>
      <c r="L953" s="95"/>
      <c r="M953" s="106"/>
      <c r="N953" s="95"/>
      <c r="O953" s="95"/>
      <c r="P953" s="95"/>
      <c r="Q953" s="95"/>
      <c r="R953" s="95"/>
      <c r="S953" s="95"/>
      <c r="T953" s="95"/>
      <c r="U953" s="95"/>
      <c r="V953" s="95"/>
      <c r="W953" s="95"/>
      <c r="X953" s="95"/>
      <c r="Y953" s="95"/>
      <c r="Z953" s="95"/>
      <c r="AA953" s="95"/>
      <c r="AB953" s="95"/>
      <c r="AC953" s="95"/>
    </row>
    <row r="954" ht="15.75" customHeight="1" spans="1:29">
      <c r="A954" s="95"/>
      <c r="B954" s="95"/>
      <c r="C954" s="102"/>
      <c r="D954" s="95"/>
      <c r="E954" s="95"/>
      <c r="F954" s="95"/>
      <c r="G954" s="95"/>
      <c r="H954" s="95"/>
      <c r="I954" s="95"/>
      <c r="J954" s="105"/>
      <c r="K954" s="95"/>
      <c r="L954" s="95"/>
      <c r="M954" s="104"/>
      <c r="N954" s="95"/>
      <c r="O954" s="95"/>
      <c r="P954" s="95"/>
      <c r="Q954" s="95"/>
      <c r="R954" s="95"/>
      <c r="S954" s="95"/>
      <c r="T954" s="95"/>
      <c r="U954" s="95"/>
      <c r="V954" s="95"/>
      <c r="W954" s="95"/>
      <c r="X954" s="95"/>
      <c r="Y954" s="95"/>
      <c r="Z954" s="95"/>
      <c r="AA954" s="95"/>
      <c r="AB954" s="95"/>
      <c r="AC954" s="95"/>
    </row>
    <row r="955" ht="15.75" customHeight="1" spans="1:29">
      <c r="A955" s="95"/>
      <c r="B955" s="95"/>
      <c r="C955" s="102"/>
      <c r="D955" s="95"/>
      <c r="E955" s="95"/>
      <c r="F955" s="95"/>
      <c r="G955" s="95"/>
      <c r="H955" s="95"/>
      <c r="I955" s="95"/>
      <c r="J955" s="105"/>
      <c r="K955" s="95"/>
      <c r="L955" s="95"/>
      <c r="M955" s="104"/>
      <c r="N955" s="95"/>
      <c r="O955" s="95"/>
      <c r="P955" s="95"/>
      <c r="Q955" s="95"/>
      <c r="R955" s="95"/>
      <c r="S955" s="95"/>
      <c r="T955" s="95"/>
      <c r="U955" s="95"/>
      <c r="V955" s="95"/>
      <c r="W955" s="95"/>
      <c r="X955" s="95"/>
      <c r="Y955" s="95"/>
      <c r="Z955" s="95"/>
      <c r="AA955" s="95"/>
      <c r="AB955" s="95"/>
      <c r="AC955" s="95"/>
    </row>
    <row r="956" ht="15.75" customHeight="1" spans="1:29">
      <c r="A956" s="95"/>
      <c r="B956" s="95"/>
      <c r="C956" s="102"/>
      <c r="D956" s="95"/>
      <c r="E956" s="95"/>
      <c r="F956" s="95"/>
      <c r="G956" s="95"/>
      <c r="H956" s="95"/>
      <c r="I956" s="95"/>
      <c r="J956" s="105"/>
      <c r="K956" s="95"/>
      <c r="L956" s="95"/>
      <c r="M956" s="104"/>
      <c r="N956" s="95"/>
      <c r="O956" s="95"/>
      <c r="P956" s="95"/>
      <c r="Q956" s="95"/>
      <c r="R956" s="95"/>
      <c r="S956" s="95"/>
      <c r="T956" s="95"/>
      <c r="U956" s="95"/>
      <c r="V956" s="95"/>
      <c r="W956" s="95"/>
      <c r="X956" s="95"/>
      <c r="Y956" s="95"/>
      <c r="Z956" s="95"/>
      <c r="AA956" s="95"/>
      <c r="AB956" s="95"/>
      <c r="AC956" s="95"/>
    </row>
    <row r="957" ht="15.75" customHeight="1" spans="1:29">
      <c r="A957" s="95"/>
      <c r="B957" s="95"/>
      <c r="C957" s="102"/>
      <c r="D957" s="95"/>
      <c r="E957" s="95"/>
      <c r="F957" s="95"/>
      <c r="G957" s="95"/>
      <c r="H957" s="95"/>
      <c r="I957" s="95"/>
      <c r="J957" s="105"/>
      <c r="K957" s="95"/>
      <c r="L957" s="95"/>
      <c r="M957" s="104"/>
      <c r="N957" s="95"/>
      <c r="O957" s="95"/>
      <c r="P957" s="95"/>
      <c r="Q957" s="95"/>
      <c r="R957" s="95"/>
      <c r="S957" s="95"/>
      <c r="T957" s="95"/>
      <c r="U957" s="95"/>
      <c r="V957" s="95"/>
      <c r="W957" s="95"/>
      <c r="X957" s="95"/>
      <c r="Y957" s="95"/>
      <c r="Z957" s="95"/>
      <c r="AA957" s="95"/>
      <c r="AB957" s="95"/>
      <c r="AC957" s="95"/>
    </row>
    <row r="958" ht="15.75" customHeight="1" spans="1:29">
      <c r="A958" s="95"/>
      <c r="B958" s="95"/>
      <c r="C958" s="102"/>
      <c r="D958" s="95"/>
      <c r="E958" s="95"/>
      <c r="F958" s="95"/>
      <c r="G958" s="95"/>
      <c r="H958" s="95"/>
      <c r="I958" s="95"/>
      <c r="J958" s="105"/>
      <c r="K958" s="95"/>
      <c r="L958" s="95"/>
      <c r="M958" s="104"/>
      <c r="N958" s="95"/>
      <c r="O958" s="95"/>
      <c r="P958" s="95"/>
      <c r="Q958" s="95"/>
      <c r="R958" s="95"/>
      <c r="S958" s="95"/>
      <c r="T958" s="95"/>
      <c r="U958" s="95"/>
      <c r="V958" s="95"/>
      <c r="W958" s="95"/>
      <c r="X958" s="95"/>
      <c r="Y958" s="95"/>
      <c r="Z958" s="95"/>
      <c r="AA958" s="95"/>
      <c r="AB958" s="95"/>
      <c r="AC958" s="95"/>
    </row>
    <row r="959" ht="15.75" customHeight="1" spans="1:29">
      <c r="A959" s="95"/>
      <c r="B959" s="95"/>
      <c r="C959" s="102"/>
      <c r="D959" s="95"/>
      <c r="E959" s="95"/>
      <c r="F959" s="95"/>
      <c r="G959" s="95"/>
      <c r="H959" s="95"/>
      <c r="I959" s="95"/>
      <c r="J959" s="105"/>
      <c r="K959" s="95"/>
      <c r="L959" s="95"/>
      <c r="M959" s="104"/>
      <c r="N959" s="95"/>
      <c r="O959" s="95"/>
      <c r="P959" s="95"/>
      <c r="Q959" s="95"/>
      <c r="R959" s="95"/>
      <c r="S959" s="95"/>
      <c r="T959" s="95"/>
      <c r="U959" s="95"/>
      <c r="V959" s="95"/>
      <c r="W959" s="95"/>
      <c r="X959" s="95"/>
      <c r="Y959" s="95"/>
      <c r="Z959" s="95"/>
      <c r="AA959" s="95"/>
      <c r="AB959" s="95"/>
      <c r="AC959" s="95"/>
    </row>
    <row r="960" ht="15.75" customHeight="1" spans="1:29">
      <c r="A960" s="95"/>
      <c r="B960" s="95"/>
      <c r="C960" s="102"/>
      <c r="D960" s="95"/>
      <c r="E960" s="95"/>
      <c r="F960" s="95"/>
      <c r="G960" s="95"/>
      <c r="H960" s="95"/>
      <c r="I960" s="95"/>
      <c r="J960" s="105"/>
      <c r="K960" s="95"/>
      <c r="L960" s="95"/>
      <c r="M960" s="104"/>
      <c r="N960" s="95"/>
      <c r="O960" s="95"/>
      <c r="P960" s="95"/>
      <c r="Q960" s="95"/>
      <c r="R960" s="95"/>
      <c r="S960" s="95"/>
      <c r="T960" s="95"/>
      <c r="U960" s="95"/>
      <c r="V960" s="95"/>
      <c r="W960" s="95"/>
      <c r="X960" s="95"/>
      <c r="Y960" s="95"/>
      <c r="Z960" s="95"/>
      <c r="AA960" s="95"/>
      <c r="AB960" s="95"/>
      <c r="AC960" s="95"/>
    </row>
    <row r="961" ht="15.75" customHeight="1" spans="1:29">
      <c r="A961" s="95"/>
      <c r="B961" s="95"/>
      <c r="C961" s="102"/>
      <c r="D961" s="95"/>
      <c r="E961" s="95"/>
      <c r="F961" s="95"/>
      <c r="G961" s="95"/>
      <c r="H961" s="95"/>
      <c r="I961" s="95"/>
      <c r="J961" s="105"/>
      <c r="K961" s="95"/>
      <c r="L961" s="95"/>
      <c r="M961" s="104"/>
      <c r="N961" s="95"/>
      <c r="O961" s="95"/>
      <c r="P961" s="95"/>
      <c r="Q961" s="95"/>
      <c r="R961" s="95"/>
      <c r="S961" s="95"/>
      <c r="T961" s="95"/>
      <c r="U961" s="95"/>
      <c r="V961" s="95"/>
      <c r="W961" s="95"/>
      <c r="X961" s="95"/>
      <c r="Y961" s="95"/>
      <c r="Z961" s="95"/>
      <c r="AA961" s="95"/>
      <c r="AB961" s="95"/>
      <c r="AC961" s="95"/>
    </row>
    <row r="962" ht="15.75" customHeight="1" spans="1:29">
      <c r="A962" s="95"/>
      <c r="B962" s="95"/>
      <c r="C962" s="102"/>
      <c r="D962" s="95"/>
      <c r="E962" s="95"/>
      <c r="F962" s="95"/>
      <c r="G962" s="95"/>
      <c r="H962" s="95"/>
      <c r="I962" s="95"/>
      <c r="J962" s="105"/>
      <c r="K962" s="95"/>
      <c r="L962" s="95"/>
      <c r="M962" s="104"/>
      <c r="N962" s="95"/>
      <c r="O962" s="95"/>
      <c r="P962" s="95"/>
      <c r="Q962" s="95"/>
      <c r="R962" s="95"/>
      <c r="S962" s="95"/>
      <c r="T962" s="95"/>
      <c r="U962" s="95"/>
      <c r="V962" s="95"/>
      <c r="W962" s="95"/>
      <c r="X962" s="95"/>
      <c r="Y962" s="95"/>
      <c r="Z962" s="95"/>
      <c r="AA962" s="95"/>
      <c r="AB962" s="95"/>
      <c r="AC962" s="95"/>
    </row>
    <row r="963" ht="15.75" customHeight="1" spans="1:29">
      <c r="A963" s="95"/>
      <c r="B963" s="95"/>
      <c r="C963" s="102"/>
      <c r="D963" s="95"/>
      <c r="E963" s="95"/>
      <c r="F963" s="95"/>
      <c r="G963" s="95"/>
      <c r="H963" s="95"/>
      <c r="I963" s="95"/>
      <c r="J963" s="105"/>
      <c r="K963" s="95"/>
      <c r="L963" s="95"/>
      <c r="M963" s="104"/>
      <c r="N963" s="95"/>
      <c r="O963" s="95"/>
      <c r="P963" s="95"/>
      <c r="Q963" s="95"/>
      <c r="R963" s="95"/>
      <c r="S963" s="95"/>
      <c r="T963" s="95"/>
      <c r="U963" s="95"/>
      <c r="V963" s="95"/>
      <c r="W963" s="95"/>
      <c r="X963" s="95"/>
      <c r="Y963" s="95"/>
      <c r="Z963" s="95"/>
      <c r="AA963" s="95"/>
      <c r="AB963" s="95"/>
      <c r="AC963" s="95"/>
    </row>
    <row r="964" ht="15.75" customHeight="1" spans="1:29">
      <c r="A964" s="95"/>
      <c r="B964" s="95"/>
      <c r="C964" s="102"/>
      <c r="D964" s="95"/>
      <c r="E964" s="95"/>
      <c r="F964" s="95"/>
      <c r="G964" s="95"/>
      <c r="H964" s="95"/>
      <c r="I964" s="95"/>
      <c r="J964" s="103"/>
      <c r="K964" s="95"/>
      <c r="L964" s="95"/>
      <c r="M964" s="106"/>
      <c r="N964" s="95"/>
      <c r="O964" s="95"/>
      <c r="P964" s="95"/>
      <c r="Q964" s="95"/>
      <c r="R964" s="95"/>
      <c r="S964" s="95"/>
      <c r="T964" s="95"/>
      <c r="U964" s="95"/>
      <c r="V964" s="95"/>
      <c r="W964" s="95"/>
      <c r="X964" s="95"/>
      <c r="Y964" s="95"/>
      <c r="Z964" s="95"/>
      <c r="AA964" s="95"/>
      <c r="AB964" s="95"/>
      <c r="AC964" s="95"/>
    </row>
    <row r="965" ht="15.75" customHeight="1" spans="1:29">
      <c r="A965" s="95"/>
      <c r="B965" s="95"/>
      <c r="C965" s="102"/>
      <c r="D965" s="95"/>
      <c r="E965" s="95"/>
      <c r="F965" s="95"/>
      <c r="G965" s="95"/>
      <c r="H965" s="95"/>
      <c r="I965" s="95"/>
      <c r="J965" s="103"/>
      <c r="K965" s="95"/>
      <c r="L965" s="95"/>
      <c r="M965" s="104"/>
      <c r="N965" s="95"/>
      <c r="O965" s="95"/>
      <c r="P965" s="95"/>
      <c r="Q965" s="95"/>
      <c r="R965" s="95"/>
      <c r="S965" s="95"/>
      <c r="T965" s="95"/>
      <c r="U965" s="95"/>
      <c r="V965" s="95"/>
      <c r="W965" s="95"/>
      <c r="X965" s="95"/>
      <c r="Y965" s="95"/>
      <c r="Z965" s="95"/>
      <c r="AA965" s="95"/>
      <c r="AB965" s="95"/>
      <c r="AC965" s="95"/>
    </row>
    <row r="966" ht="15.75" customHeight="1" spans="1:29">
      <c r="A966" s="95"/>
      <c r="B966" s="95"/>
      <c r="C966" s="102"/>
      <c r="D966" s="95"/>
      <c r="E966" s="95"/>
      <c r="F966" s="95"/>
      <c r="G966" s="95"/>
      <c r="H966" s="95"/>
      <c r="I966" s="95"/>
      <c r="J966" s="105"/>
      <c r="K966" s="95"/>
      <c r="L966" s="95"/>
      <c r="M966" s="104"/>
      <c r="N966" s="95"/>
      <c r="O966" s="95"/>
      <c r="P966" s="95"/>
      <c r="Q966" s="95"/>
      <c r="R966" s="95"/>
      <c r="S966" s="95"/>
      <c r="T966" s="95"/>
      <c r="U966" s="95"/>
      <c r="V966" s="95"/>
      <c r="W966" s="95"/>
      <c r="X966" s="95"/>
      <c r="Y966" s="95"/>
      <c r="Z966" s="95"/>
      <c r="AA966" s="95"/>
      <c r="AB966" s="95"/>
      <c r="AC966" s="95"/>
    </row>
    <row r="967" ht="15.75" customHeight="1" spans="1:29">
      <c r="A967" s="95"/>
      <c r="B967" s="95"/>
      <c r="C967" s="102"/>
      <c r="D967" s="95"/>
      <c r="E967" s="95"/>
      <c r="F967" s="95"/>
      <c r="G967" s="95"/>
      <c r="H967" s="95"/>
      <c r="I967" s="95"/>
      <c r="J967" s="105"/>
      <c r="K967" s="95"/>
      <c r="L967" s="95"/>
      <c r="M967" s="104"/>
      <c r="N967" s="95"/>
      <c r="O967" s="95"/>
      <c r="P967" s="95"/>
      <c r="Q967" s="95"/>
      <c r="R967" s="95"/>
      <c r="S967" s="95"/>
      <c r="T967" s="95"/>
      <c r="U967" s="95"/>
      <c r="V967" s="95"/>
      <c r="W967" s="95"/>
      <c r="X967" s="95"/>
      <c r="Y967" s="95"/>
      <c r="Z967" s="95"/>
      <c r="AA967" s="95"/>
      <c r="AB967" s="95"/>
      <c r="AC967" s="95"/>
    </row>
    <row r="968" ht="15.75" customHeight="1" spans="1:29">
      <c r="A968" s="95"/>
      <c r="B968" s="95"/>
      <c r="C968" s="102"/>
      <c r="D968" s="95"/>
      <c r="E968" s="95"/>
      <c r="F968" s="95"/>
      <c r="G968" s="95"/>
      <c r="H968" s="95"/>
      <c r="I968" s="95"/>
      <c r="J968" s="105"/>
      <c r="K968" s="95"/>
      <c r="L968" s="95"/>
      <c r="M968" s="104"/>
      <c r="N968" s="95"/>
      <c r="O968" s="95"/>
      <c r="P968" s="95"/>
      <c r="Q968" s="95"/>
      <c r="R968" s="95"/>
      <c r="S968" s="95"/>
      <c r="T968" s="95"/>
      <c r="U968" s="95"/>
      <c r="V968" s="95"/>
      <c r="W968" s="95"/>
      <c r="X968" s="95"/>
      <c r="Y968" s="95"/>
      <c r="Z968" s="95"/>
      <c r="AA968" s="95"/>
      <c r="AB968" s="95"/>
      <c r="AC968" s="95"/>
    </row>
    <row r="969" ht="15.75" customHeight="1" spans="1:29">
      <c r="A969" s="95"/>
      <c r="B969" s="95"/>
      <c r="C969" s="102"/>
      <c r="D969" s="95"/>
      <c r="E969" s="95"/>
      <c r="F969" s="95"/>
      <c r="G969" s="95"/>
      <c r="H969" s="95"/>
      <c r="I969" s="95"/>
      <c r="J969" s="105"/>
      <c r="K969" s="95"/>
      <c r="L969" s="95"/>
      <c r="M969" s="104"/>
      <c r="N969" s="95"/>
      <c r="O969" s="95"/>
      <c r="P969" s="95"/>
      <c r="Q969" s="95"/>
      <c r="R969" s="95"/>
      <c r="S969" s="95"/>
      <c r="T969" s="95"/>
      <c r="U969" s="95"/>
      <c r="V969" s="95"/>
      <c r="W969" s="95"/>
      <c r="X969" s="95"/>
      <c r="Y969" s="95"/>
      <c r="Z969" s="95"/>
      <c r="AA969" s="95"/>
      <c r="AB969" s="95"/>
      <c r="AC969" s="95"/>
    </row>
    <row r="970" ht="15.75" customHeight="1" spans="1:29">
      <c r="A970" s="95"/>
      <c r="B970" s="95"/>
      <c r="C970" s="102"/>
      <c r="D970" s="95"/>
      <c r="E970" s="95"/>
      <c r="F970" s="95"/>
      <c r="G970" s="95"/>
      <c r="H970" s="95"/>
      <c r="I970" s="95"/>
      <c r="J970" s="103"/>
      <c r="K970" s="95"/>
      <c r="L970" s="95"/>
      <c r="M970" s="104"/>
      <c r="N970" s="95"/>
      <c r="O970" s="95"/>
      <c r="P970" s="95"/>
      <c r="Q970" s="95"/>
      <c r="R970" s="95"/>
      <c r="S970" s="95"/>
      <c r="T970" s="95"/>
      <c r="U970" s="95"/>
      <c r="V970" s="95"/>
      <c r="W970" s="95"/>
      <c r="X970" s="95"/>
      <c r="Y970" s="95"/>
      <c r="Z970" s="95"/>
      <c r="AA970" s="95"/>
      <c r="AB970" s="95"/>
      <c r="AC970" s="95"/>
    </row>
    <row r="971" ht="15.75" customHeight="1" spans="1:29">
      <c r="A971" s="95"/>
      <c r="B971" s="95"/>
      <c r="C971" s="102"/>
      <c r="D971" s="95"/>
      <c r="E971" s="95"/>
      <c r="F971" s="95"/>
      <c r="G971" s="95"/>
      <c r="H971" s="95"/>
      <c r="I971" s="95"/>
      <c r="J971" s="103"/>
      <c r="K971" s="95"/>
      <c r="L971" s="95"/>
      <c r="M971" s="104"/>
      <c r="N971" s="95"/>
      <c r="O971" s="95"/>
      <c r="P971" s="95"/>
      <c r="Q971" s="95"/>
      <c r="R971" s="95"/>
      <c r="S971" s="95"/>
      <c r="T971" s="95"/>
      <c r="U971" s="95"/>
      <c r="V971" s="95"/>
      <c r="W971" s="95"/>
      <c r="X971" s="95"/>
      <c r="Y971" s="95"/>
      <c r="Z971" s="95"/>
      <c r="AA971" s="95"/>
      <c r="AB971" s="95"/>
      <c r="AC971" s="95"/>
    </row>
    <row r="972" ht="15.75" customHeight="1" spans="1:29">
      <c r="A972" s="95"/>
      <c r="B972" s="95"/>
      <c r="C972" s="102"/>
      <c r="D972" s="95"/>
      <c r="E972" s="95"/>
      <c r="F972" s="95"/>
      <c r="G972" s="95"/>
      <c r="H972" s="95"/>
      <c r="I972" s="95"/>
      <c r="J972" s="103"/>
      <c r="K972" s="95"/>
      <c r="L972" s="95"/>
      <c r="M972" s="104"/>
      <c r="N972" s="95"/>
      <c r="O972" s="95"/>
      <c r="P972" s="95"/>
      <c r="Q972" s="95"/>
      <c r="R972" s="95"/>
      <c r="S972" s="95"/>
      <c r="T972" s="95"/>
      <c r="U972" s="95"/>
      <c r="V972" s="95"/>
      <c r="W972" s="95"/>
      <c r="X972" s="95"/>
      <c r="Y972" s="95"/>
      <c r="Z972" s="95"/>
      <c r="AA972" s="95"/>
      <c r="AB972" s="95"/>
      <c r="AC972" s="95"/>
    </row>
    <row r="973" ht="15.75" customHeight="1" spans="1:29">
      <c r="A973" s="95"/>
      <c r="B973" s="95"/>
      <c r="C973" s="102"/>
      <c r="D973" s="95"/>
      <c r="E973" s="95"/>
      <c r="F973" s="95"/>
      <c r="G973" s="95"/>
      <c r="H973" s="95"/>
      <c r="I973" s="95"/>
      <c r="J973" s="103"/>
      <c r="K973" s="95"/>
      <c r="L973" s="95"/>
      <c r="M973" s="104"/>
      <c r="N973" s="95"/>
      <c r="O973" s="95"/>
      <c r="P973" s="95"/>
      <c r="Q973" s="95"/>
      <c r="R973" s="95"/>
      <c r="S973" s="95"/>
      <c r="T973" s="95"/>
      <c r="U973" s="95"/>
      <c r="V973" s="95"/>
      <c r="W973" s="95"/>
      <c r="X973" s="95"/>
      <c r="Y973" s="95"/>
      <c r="Z973" s="95"/>
      <c r="AA973" s="95"/>
      <c r="AB973" s="95"/>
      <c r="AC973" s="95"/>
    </row>
    <row r="974" ht="15.75" customHeight="1" spans="1:29">
      <c r="A974" s="95"/>
      <c r="B974" s="95"/>
      <c r="C974" s="102"/>
      <c r="D974" s="95"/>
      <c r="E974" s="95"/>
      <c r="F974" s="95"/>
      <c r="G974" s="95"/>
      <c r="H974" s="95"/>
      <c r="I974" s="95"/>
      <c r="J974" s="103"/>
      <c r="K974" s="95"/>
      <c r="L974" s="95"/>
      <c r="M974" s="104"/>
      <c r="N974" s="95"/>
      <c r="O974" s="95"/>
      <c r="P974" s="95"/>
      <c r="Q974" s="95"/>
      <c r="R974" s="95"/>
      <c r="S974" s="95"/>
      <c r="T974" s="95"/>
      <c r="U974" s="95"/>
      <c r="V974" s="95"/>
      <c r="W974" s="95"/>
      <c r="X974" s="95"/>
      <c r="Y974" s="95"/>
      <c r="Z974" s="95"/>
      <c r="AA974" s="95"/>
      <c r="AB974" s="95"/>
      <c r="AC974" s="95"/>
    </row>
    <row r="975" ht="15.75" customHeight="1" spans="1:29">
      <c r="A975" s="95"/>
      <c r="B975" s="95"/>
      <c r="C975" s="102"/>
      <c r="D975" s="95"/>
      <c r="E975" s="95"/>
      <c r="F975" s="95"/>
      <c r="G975" s="95"/>
      <c r="H975" s="95"/>
      <c r="I975" s="95"/>
      <c r="J975" s="103"/>
      <c r="K975" s="95"/>
      <c r="L975" s="95"/>
      <c r="M975" s="104"/>
      <c r="N975" s="95"/>
      <c r="O975" s="95"/>
      <c r="P975" s="95"/>
      <c r="Q975" s="95"/>
      <c r="R975" s="95"/>
      <c r="S975" s="95"/>
      <c r="T975" s="95"/>
      <c r="U975" s="95"/>
      <c r="V975" s="95"/>
      <c r="W975" s="95"/>
      <c r="X975" s="95"/>
      <c r="Y975" s="95"/>
      <c r="Z975" s="95"/>
      <c r="AA975" s="95"/>
      <c r="AB975" s="95"/>
      <c r="AC975" s="95"/>
    </row>
    <row r="976" ht="15.75" customHeight="1" spans="1:29">
      <c r="A976" s="95"/>
      <c r="B976" s="95"/>
      <c r="C976" s="102"/>
      <c r="D976" s="95"/>
      <c r="E976" s="95"/>
      <c r="F976" s="95"/>
      <c r="G976" s="95"/>
      <c r="H976" s="95"/>
      <c r="I976" s="95"/>
      <c r="J976" s="105"/>
      <c r="K976" s="95"/>
      <c r="L976" s="95"/>
      <c r="M976" s="104"/>
      <c r="N976" s="95"/>
      <c r="O976" s="95"/>
      <c r="P976" s="95"/>
      <c r="Q976" s="95"/>
      <c r="R976" s="95"/>
      <c r="S976" s="95"/>
      <c r="T976" s="95"/>
      <c r="U976" s="95"/>
      <c r="V976" s="95"/>
      <c r="W976" s="95"/>
      <c r="X976" s="95"/>
      <c r="Y976" s="95"/>
      <c r="Z976" s="95"/>
      <c r="AA976" s="95"/>
      <c r="AB976" s="95"/>
      <c r="AC976" s="95"/>
    </row>
    <row r="977" ht="15.75" customHeight="1" spans="1:29">
      <c r="A977" s="95"/>
      <c r="B977" s="95"/>
      <c r="C977" s="102"/>
      <c r="D977" s="95"/>
      <c r="E977" s="95"/>
      <c r="F977" s="95"/>
      <c r="G977" s="95"/>
      <c r="H977" s="95"/>
      <c r="I977" s="95"/>
      <c r="J977" s="105"/>
      <c r="K977" s="95"/>
      <c r="L977" s="95"/>
      <c r="M977" s="104"/>
      <c r="N977" s="95"/>
      <c r="O977" s="95"/>
      <c r="P977" s="95"/>
      <c r="Q977" s="95"/>
      <c r="R977" s="95"/>
      <c r="S977" s="95"/>
      <c r="T977" s="95"/>
      <c r="U977" s="95"/>
      <c r="V977" s="95"/>
      <c r="W977" s="95"/>
      <c r="X977" s="95"/>
      <c r="Y977" s="95"/>
      <c r="Z977" s="95"/>
      <c r="AA977" s="95"/>
      <c r="AB977" s="95"/>
      <c r="AC977" s="95"/>
    </row>
    <row r="978" ht="15.75" customHeight="1" spans="1:29">
      <c r="A978" s="95"/>
      <c r="B978" s="95"/>
      <c r="C978" s="102"/>
      <c r="D978" s="95"/>
      <c r="E978" s="95"/>
      <c r="F978" s="95"/>
      <c r="G978" s="95"/>
      <c r="H978" s="95"/>
      <c r="I978" s="95"/>
      <c r="J978" s="103"/>
      <c r="K978" s="95"/>
      <c r="L978" s="95"/>
      <c r="M978" s="104"/>
      <c r="N978" s="95"/>
      <c r="O978" s="95"/>
      <c r="P978" s="95"/>
      <c r="Q978" s="95"/>
      <c r="R978" s="95"/>
      <c r="S978" s="95"/>
      <c r="T978" s="95"/>
      <c r="U978" s="95"/>
      <c r="V978" s="95"/>
      <c r="W978" s="95"/>
      <c r="X978" s="95"/>
      <c r="Y978" s="95"/>
      <c r="Z978" s="95"/>
      <c r="AA978" s="95"/>
      <c r="AB978" s="95"/>
      <c r="AC978" s="95"/>
    </row>
    <row r="979" ht="15.75" customHeight="1" spans="1:29">
      <c r="A979" s="95"/>
      <c r="B979" s="95"/>
      <c r="C979" s="102"/>
      <c r="D979" s="95"/>
      <c r="E979" s="95"/>
      <c r="F979" s="95"/>
      <c r="G979" s="95"/>
      <c r="H979" s="95"/>
      <c r="I979" s="95"/>
      <c r="J979" s="103"/>
      <c r="K979" s="95"/>
      <c r="L979" s="95"/>
      <c r="M979" s="106"/>
      <c r="N979" s="95"/>
      <c r="O979" s="95"/>
      <c r="P979" s="95"/>
      <c r="Q979" s="95"/>
      <c r="R979" s="95"/>
      <c r="S979" s="95"/>
      <c r="T979" s="95"/>
      <c r="U979" s="95"/>
      <c r="V979" s="95"/>
      <c r="W979" s="95"/>
      <c r="X979" s="95"/>
      <c r="Y979" s="95"/>
      <c r="Z979" s="95"/>
      <c r="AA979" s="95"/>
      <c r="AB979" s="95"/>
      <c r="AC979" s="95"/>
    </row>
    <row r="980" ht="15.75" customHeight="1" spans="1:29">
      <c r="A980" s="95"/>
      <c r="B980" s="95"/>
      <c r="C980" s="102"/>
      <c r="D980" s="95"/>
      <c r="E980" s="95"/>
      <c r="F980" s="95"/>
      <c r="G980" s="95"/>
      <c r="H980" s="95"/>
      <c r="I980" s="95"/>
      <c r="J980" s="105"/>
      <c r="K980" s="95"/>
      <c r="L980" s="95"/>
      <c r="M980" s="106"/>
      <c r="N980" s="95"/>
      <c r="O980" s="95"/>
      <c r="P980" s="95"/>
      <c r="Q980" s="95"/>
      <c r="R980" s="95"/>
      <c r="S980" s="95"/>
      <c r="T980" s="95"/>
      <c r="U980" s="95"/>
      <c r="V980" s="95"/>
      <c r="W980" s="95"/>
      <c r="X980" s="95"/>
      <c r="Y980" s="95"/>
      <c r="Z980" s="95"/>
      <c r="AA980" s="95"/>
      <c r="AB980" s="95"/>
      <c r="AC980" s="95"/>
    </row>
    <row r="981" ht="15.75" customHeight="1" spans="1:29">
      <c r="A981" s="95"/>
      <c r="B981" s="95"/>
      <c r="C981" s="102"/>
      <c r="D981" s="95"/>
      <c r="E981" s="95"/>
      <c r="F981" s="95"/>
      <c r="G981" s="95"/>
      <c r="H981" s="95"/>
      <c r="I981" s="95"/>
      <c r="J981" s="105"/>
      <c r="K981" s="95"/>
      <c r="L981" s="95"/>
      <c r="M981" s="104"/>
      <c r="N981" s="95"/>
      <c r="O981" s="95"/>
      <c r="P981" s="95"/>
      <c r="Q981" s="95"/>
      <c r="R981" s="95"/>
      <c r="S981" s="95"/>
      <c r="T981" s="95"/>
      <c r="U981" s="95"/>
      <c r="V981" s="95"/>
      <c r="W981" s="95"/>
      <c r="X981" s="95"/>
      <c r="Y981" s="95"/>
      <c r="Z981" s="95"/>
      <c r="AA981" s="95"/>
      <c r="AB981" s="95"/>
      <c r="AC981" s="95"/>
    </row>
    <row r="982" ht="15.75" customHeight="1" spans="1:29">
      <c r="A982" s="95"/>
      <c r="B982" s="95"/>
      <c r="C982" s="102"/>
      <c r="D982" s="95"/>
      <c r="E982" s="95"/>
      <c r="F982" s="95"/>
      <c r="G982" s="95"/>
      <c r="H982" s="95"/>
      <c r="I982" s="95"/>
      <c r="J982" s="105"/>
      <c r="K982" s="95"/>
      <c r="L982" s="95"/>
      <c r="M982" s="104"/>
      <c r="N982" s="95"/>
      <c r="O982" s="95"/>
      <c r="P982" s="95"/>
      <c r="Q982" s="95"/>
      <c r="R982" s="95"/>
      <c r="S982" s="95"/>
      <c r="T982" s="95"/>
      <c r="U982" s="95"/>
      <c r="V982" s="95"/>
      <c r="W982" s="95"/>
      <c r="X982" s="95"/>
      <c r="Y982" s="95"/>
      <c r="Z982" s="95"/>
      <c r="AA982" s="95"/>
      <c r="AB982" s="95"/>
      <c r="AC982" s="95"/>
    </row>
    <row r="983" ht="15.75" customHeight="1" spans="1:29">
      <c r="A983" s="95"/>
      <c r="B983" s="95"/>
      <c r="C983" s="102"/>
      <c r="D983" s="95"/>
      <c r="E983" s="95"/>
      <c r="F983" s="95"/>
      <c r="G983" s="95"/>
      <c r="H983" s="95"/>
      <c r="I983" s="95"/>
      <c r="J983" s="105"/>
      <c r="K983" s="95"/>
      <c r="L983" s="95"/>
      <c r="M983" s="104"/>
      <c r="N983" s="95"/>
      <c r="O983" s="95"/>
      <c r="P983" s="95"/>
      <c r="Q983" s="95"/>
      <c r="R983" s="95"/>
      <c r="S983" s="95"/>
      <c r="T983" s="95"/>
      <c r="U983" s="95"/>
      <c r="V983" s="95"/>
      <c r="W983" s="95"/>
      <c r="X983" s="95"/>
      <c r="Y983" s="95"/>
      <c r="Z983" s="95"/>
      <c r="AA983" s="95"/>
      <c r="AB983" s="95"/>
      <c r="AC983" s="95"/>
    </row>
    <row r="984" ht="15.75" customHeight="1" spans="1:29">
      <c r="A984" s="95"/>
      <c r="B984" s="95"/>
      <c r="C984" s="102"/>
      <c r="D984" s="95"/>
      <c r="E984" s="95"/>
      <c r="F984" s="95"/>
      <c r="G984" s="95"/>
      <c r="H984" s="95"/>
      <c r="I984" s="95"/>
      <c r="J984" s="105"/>
      <c r="K984" s="95"/>
      <c r="L984" s="95"/>
      <c r="M984" s="104"/>
      <c r="N984" s="95"/>
      <c r="O984" s="95"/>
      <c r="P984" s="95"/>
      <c r="Q984" s="95"/>
      <c r="R984" s="95"/>
      <c r="S984" s="95"/>
      <c r="T984" s="95"/>
      <c r="U984" s="95"/>
      <c r="V984" s="95"/>
      <c r="W984" s="95"/>
      <c r="X984" s="95"/>
      <c r="Y984" s="95"/>
      <c r="Z984" s="95"/>
      <c r="AA984" s="95"/>
      <c r="AB984" s="95"/>
      <c r="AC984" s="95"/>
    </row>
    <row r="985" ht="15.75" customHeight="1" spans="1:29">
      <c r="A985" s="95"/>
      <c r="B985" s="95"/>
      <c r="C985" s="102"/>
      <c r="D985" s="95"/>
      <c r="E985" s="95"/>
      <c r="F985" s="95"/>
      <c r="G985" s="95"/>
      <c r="H985" s="95"/>
      <c r="I985" s="95"/>
      <c r="J985" s="105"/>
      <c r="K985" s="95"/>
      <c r="L985" s="95"/>
      <c r="M985" s="104"/>
      <c r="N985" s="95"/>
      <c r="O985" s="95"/>
      <c r="P985" s="95"/>
      <c r="Q985" s="95"/>
      <c r="R985" s="95"/>
      <c r="S985" s="95"/>
      <c r="T985" s="95"/>
      <c r="U985" s="95"/>
      <c r="V985" s="95"/>
      <c r="W985" s="95"/>
      <c r="X985" s="95"/>
      <c r="Y985" s="95"/>
      <c r="Z985" s="95"/>
      <c r="AA985" s="95"/>
      <c r="AB985" s="95"/>
      <c r="AC985" s="95"/>
    </row>
    <row r="986" ht="15.75" customHeight="1" spans="1:29">
      <c r="A986" s="95"/>
      <c r="B986" s="95"/>
      <c r="C986" s="102"/>
      <c r="D986" s="95"/>
      <c r="E986" s="95"/>
      <c r="F986" s="95"/>
      <c r="G986" s="95"/>
      <c r="H986" s="95"/>
      <c r="I986" s="95"/>
      <c r="J986" s="105"/>
      <c r="K986" s="95"/>
      <c r="L986" s="95"/>
      <c r="M986" s="104"/>
      <c r="N986" s="95"/>
      <c r="O986" s="95"/>
      <c r="P986" s="95"/>
      <c r="Q986" s="95"/>
      <c r="R986" s="95"/>
      <c r="S986" s="95"/>
      <c r="T986" s="95"/>
      <c r="U986" s="95"/>
      <c r="V986" s="95"/>
      <c r="W986" s="95"/>
      <c r="X986" s="95"/>
      <c r="Y986" s="95"/>
      <c r="Z986" s="95"/>
      <c r="AA986" s="95"/>
      <c r="AB986" s="95"/>
      <c r="AC986" s="95"/>
    </row>
    <row r="987" ht="15.75" customHeight="1" spans="1:29">
      <c r="A987" s="95"/>
      <c r="B987" s="95"/>
      <c r="C987" s="102"/>
      <c r="D987" s="95"/>
      <c r="E987" s="95"/>
      <c r="F987" s="95"/>
      <c r="G987" s="95"/>
      <c r="H987" s="95"/>
      <c r="I987" s="95"/>
      <c r="J987" s="105"/>
      <c r="K987" s="95"/>
      <c r="L987" s="95"/>
      <c r="M987" s="104"/>
      <c r="N987" s="95"/>
      <c r="O987" s="95"/>
      <c r="P987" s="95"/>
      <c r="Q987" s="95"/>
      <c r="R987" s="95"/>
      <c r="S987" s="95"/>
      <c r="T987" s="95"/>
      <c r="U987" s="95"/>
      <c r="V987" s="95"/>
      <c r="W987" s="95"/>
      <c r="X987" s="95"/>
      <c r="Y987" s="95"/>
      <c r="Z987" s="95"/>
      <c r="AA987" s="95"/>
      <c r="AB987" s="95"/>
      <c r="AC987" s="95"/>
    </row>
    <row r="988" ht="15.75" customHeight="1" spans="1:29">
      <c r="A988" s="95"/>
      <c r="B988" s="95"/>
      <c r="C988" s="102"/>
      <c r="D988" s="95"/>
      <c r="E988" s="95"/>
      <c r="F988" s="95"/>
      <c r="G988" s="95"/>
      <c r="H988" s="95"/>
      <c r="I988" s="95"/>
      <c r="J988" s="105"/>
      <c r="K988" s="95"/>
      <c r="L988" s="95"/>
      <c r="M988" s="104"/>
      <c r="N988" s="95"/>
      <c r="O988" s="95"/>
      <c r="P988" s="95"/>
      <c r="Q988" s="95"/>
      <c r="R988" s="95"/>
      <c r="S988" s="95"/>
      <c r="T988" s="95"/>
      <c r="U988" s="95"/>
      <c r="V988" s="95"/>
      <c r="W988" s="95"/>
      <c r="X988" s="95"/>
      <c r="Y988" s="95"/>
      <c r="Z988" s="95"/>
      <c r="AA988" s="95"/>
      <c r="AB988" s="95"/>
      <c r="AC988" s="95"/>
    </row>
    <row r="989" ht="15.75" customHeight="1" spans="1:29">
      <c r="A989" s="95"/>
      <c r="B989" s="95"/>
      <c r="C989" s="102"/>
      <c r="D989" s="95"/>
      <c r="E989" s="95"/>
      <c r="F989" s="95"/>
      <c r="G989" s="95"/>
      <c r="H989" s="95"/>
      <c r="I989" s="95"/>
      <c r="J989" s="105"/>
      <c r="K989" s="95"/>
      <c r="L989" s="95"/>
      <c r="M989" s="104"/>
      <c r="N989" s="95"/>
      <c r="O989" s="95"/>
      <c r="P989" s="95"/>
      <c r="Q989" s="95"/>
      <c r="R989" s="95"/>
      <c r="S989" s="95"/>
      <c r="T989" s="95"/>
      <c r="U989" s="95"/>
      <c r="V989" s="95"/>
      <c r="W989" s="95"/>
      <c r="X989" s="95"/>
      <c r="Y989" s="95"/>
      <c r="Z989" s="95"/>
      <c r="AA989" s="95"/>
      <c r="AB989" s="95"/>
      <c r="AC989" s="95"/>
    </row>
    <row r="990" ht="15.75" customHeight="1" spans="1:29">
      <c r="A990" s="95"/>
      <c r="B990" s="95"/>
      <c r="C990" s="102"/>
      <c r="D990" s="95"/>
      <c r="E990" s="95"/>
      <c r="F990" s="95"/>
      <c r="G990" s="95"/>
      <c r="H990" s="95"/>
      <c r="I990" s="95"/>
      <c r="J990" s="105"/>
      <c r="K990" s="95"/>
      <c r="L990" s="95"/>
      <c r="M990" s="106"/>
      <c r="N990" s="95"/>
      <c r="O990" s="95"/>
      <c r="P990" s="95"/>
      <c r="Q990" s="95"/>
      <c r="R990" s="95"/>
      <c r="S990" s="95"/>
      <c r="T990" s="95"/>
      <c r="U990" s="95"/>
      <c r="V990" s="95"/>
      <c r="W990" s="95"/>
      <c r="X990" s="95"/>
      <c r="Y990" s="95"/>
      <c r="Z990" s="95"/>
      <c r="AA990" s="95"/>
      <c r="AB990" s="95"/>
      <c r="AC990" s="95"/>
    </row>
    <row r="991" ht="15.75" customHeight="1" spans="1:29">
      <c r="A991" s="95"/>
      <c r="B991" s="95"/>
      <c r="C991" s="102"/>
      <c r="D991" s="95"/>
      <c r="E991" s="95"/>
      <c r="F991" s="95"/>
      <c r="G991" s="95"/>
      <c r="H991" s="95"/>
      <c r="I991" s="95"/>
      <c r="J991" s="105"/>
      <c r="K991" s="95"/>
      <c r="L991" s="95"/>
      <c r="M991" s="104"/>
      <c r="N991" s="95"/>
      <c r="O991" s="95"/>
      <c r="P991" s="95"/>
      <c r="Q991" s="95"/>
      <c r="R991" s="95"/>
      <c r="S991" s="95"/>
      <c r="T991" s="95"/>
      <c r="U991" s="95"/>
      <c r="V991" s="95"/>
      <c r="W991" s="95"/>
      <c r="X991" s="95"/>
      <c r="Y991" s="95"/>
      <c r="Z991" s="95"/>
      <c r="AA991" s="95"/>
      <c r="AB991" s="95"/>
      <c r="AC991" s="95"/>
    </row>
    <row r="992" ht="15.75" customHeight="1" spans="1:29">
      <c r="A992" s="95"/>
      <c r="B992" s="95"/>
      <c r="C992" s="102"/>
      <c r="D992" s="95"/>
      <c r="E992" s="95"/>
      <c r="F992" s="95"/>
      <c r="G992" s="95"/>
      <c r="H992" s="95"/>
      <c r="I992" s="95"/>
      <c r="J992" s="105"/>
      <c r="K992" s="95"/>
      <c r="L992" s="95"/>
      <c r="M992" s="104"/>
      <c r="N992" s="95"/>
      <c r="O992" s="95"/>
      <c r="P992" s="95"/>
      <c r="Q992" s="95"/>
      <c r="R992" s="95"/>
      <c r="S992" s="95"/>
      <c r="T992" s="95"/>
      <c r="U992" s="95"/>
      <c r="V992" s="95"/>
      <c r="W992" s="95"/>
      <c r="X992" s="95"/>
      <c r="Y992" s="95"/>
      <c r="Z992" s="95"/>
      <c r="AA992" s="95"/>
      <c r="AB992" s="95"/>
      <c r="AC992" s="95"/>
    </row>
    <row r="993" ht="15.75" customHeight="1" spans="1:29">
      <c r="A993" s="95"/>
      <c r="B993" s="95"/>
      <c r="C993" s="102"/>
      <c r="D993" s="95"/>
      <c r="E993" s="95"/>
      <c r="F993" s="95"/>
      <c r="G993" s="95"/>
      <c r="H993" s="95"/>
      <c r="I993" s="95"/>
      <c r="J993" s="105"/>
      <c r="K993" s="95"/>
      <c r="L993" s="95"/>
      <c r="M993" s="104"/>
      <c r="N993" s="95"/>
      <c r="O993" s="95"/>
      <c r="P993" s="95"/>
      <c r="Q993" s="95"/>
      <c r="R993" s="95"/>
      <c r="S993" s="95"/>
      <c r="T993" s="95"/>
      <c r="U993" s="95"/>
      <c r="V993" s="95"/>
      <c r="W993" s="95"/>
      <c r="X993" s="95"/>
      <c r="Y993" s="95"/>
      <c r="Z993" s="95"/>
      <c r="AA993" s="95"/>
      <c r="AB993" s="95"/>
      <c r="AC993" s="95"/>
    </row>
    <row r="994" ht="15.75" customHeight="1" spans="1:29">
      <c r="A994" s="95"/>
      <c r="B994" s="95"/>
      <c r="C994" s="102"/>
      <c r="D994" s="95"/>
      <c r="E994" s="95"/>
      <c r="F994" s="95"/>
      <c r="G994" s="95"/>
      <c r="H994" s="95"/>
      <c r="I994" s="95"/>
      <c r="J994" s="105"/>
      <c r="K994" s="95"/>
      <c r="L994" s="95"/>
      <c r="M994" s="104"/>
      <c r="N994" s="95"/>
      <c r="O994" s="95"/>
      <c r="P994" s="95"/>
      <c r="Q994" s="95"/>
      <c r="R994" s="95"/>
      <c r="S994" s="95"/>
      <c r="T994" s="95"/>
      <c r="U994" s="95"/>
      <c r="V994" s="95"/>
      <c r="W994" s="95"/>
      <c r="X994" s="95"/>
      <c r="Y994" s="95"/>
      <c r="Z994" s="95"/>
      <c r="AA994" s="95"/>
      <c r="AB994" s="95"/>
      <c r="AC994" s="95"/>
    </row>
    <row r="995" ht="15.75" customHeight="1" spans="1:29">
      <c r="A995" s="95"/>
      <c r="B995" s="95"/>
      <c r="C995" s="102"/>
      <c r="D995" s="95"/>
      <c r="E995" s="95"/>
      <c r="F995" s="95"/>
      <c r="G995" s="95"/>
      <c r="H995" s="95"/>
      <c r="I995" s="95"/>
      <c r="J995" s="105"/>
      <c r="K995" s="95"/>
      <c r="L995" s="95"/>
      <c r="M995" s="104"/>
      <c r="N995" s="95"/>
      <c r="O995" s="95"/>
      <c r="P995" s="95"/>
      <c r="Q995" s="95"/>
      <c r="R995" s="95"/>
      <c r="S995" s="95"/>
      <c r="T995" s="95"/>
      <c r="U995" s="95"/>
      <c r="V995" s="95"/>
      <c r="W995" s="95"/>
      <c r="X995" s="95"/>
      <c r="Y995" s="95"/>
      <c r="Z995" s="95"/>
      <c r="AA995" s="95"/>
      <c r="AB995" s="95"/>
      <c r="AC995" s="95"/>
    </row>
    <row r="996" ht="15.75" customHeight="1" spans="1:29">
      <c r="A996" s="95"/>
      <c r="B996" s="95"/>
      <c r="C996" s="102"/>
      <c r="D996" s="95"/>
      <c r="E996" s="95"/>
      <c r="F996" s="95"/>
      <c r="G996" s="95"/>
      <c r="H996" s="95"/>
      <c r="I996" s="95"/>
      <c r="J996" s="105"/>
      <c r="K996" s="95"/>
      <c r="L996" s="95"/>
      <c r="M996" s="104"/>
      <c r="N996" s="95"/>
      <c r="O996" s="95"/>
      <c r="P996" s="95"/>
      <c r="Q996" s="95"/>
      <c r="R996" s="95"/>
      <c r="S996" s="95"/>
      <c r="T996" s="95"/>
      <c r="U996" s="95"/>
      <c r="V996" s="95"/>
      <c r="W996" s="95"/>
      <c r="X996" s="95"/>
      <c r="Y996" s="95"/>
      <c r="Z996" s="95"/>
      <c r="AA996" s="95"/>
      <c r="AB996" s="95"/>
      <c r="AC996" s="95"/>
    </row>
    <row r="997" ht="15.75" customHeight="1" spans="1:29">
      <c r="A997" s="95"/>
      <c r="B997" s="95"/>
      <c r="C997" s="102"/>
      <c r="D997" s="95"/>
      <c r="E997" s="95"/>
      <c r="F997" s="95"/>
      <c r="G997" s="95"/>
      <c r="H997" s="95"/>
      <c r="I997" s="95"/>
      <c r="J997" s="103"/>
      <c r="K997" s="95"/>
      <c r="L997" s="95"/>
      <c r="M997" s="104"/>
      <c r="N997" s="95"/>
      <c r="O997" s="95"/>
      <c r="P997" s="95"/>
      <c r="Q997" s="95"/>
      <c r="R997" s="95"/>
      <c r="S997" s="95"/>
      <c r="T997" s="95"/>
      <c r="U997" s="95"/>
      <c r="V997" s="95"/>
      <c r="W997" s="95"/>
      <c r="X997" s="95"/>
      <c r="Y997" s="95"/>
      <c r="Z997" s="95"/>
      <c r="AA997" s="95"/>
      <c r="AB997" s="95"/>
      <c r="AC997" s="95"/>
    </row>
    <row r="998" ht="15.75" customHeight="1" spans="1:29">
      <c r="A998" s="95"/>
      <c r="B998" s="95"/>
      <c r="C998" s="102"/>
      <c r="D998" s="95"/>
      <c r="E998" s="95"/>
      <c r="F998" s="95"/>
      <c r="G998" s="95"/>
      <c r="H998" s="95"/>
      <c r="I998" s="95"/>
      <c r="J998" s="103"/>
      <c r="K998" s="95"/>
      <c r="L998" s="95"/>
      <c r="M998" s="104"/>
      <c r="N998" s="95"/>
      <c r="O998" s="95"/>
      <c r="P998" s="95"/>
      <c r="Q998" s="95"/>
      <c r="R998" s="95"/>
      <c r="S998" s="95"/>
      <c r="T998" s="95"/>
      <c r="U998" s="95"/>
      <c r="V998" s="95"/>
      <c r="W998" s="95"/>
      <c r="X998" s="95"/>
      <c r="Y998" s="95"/>
      <c r="Z998" s="95"/>
      <c r="AA998" s="95"/>
      <c r="AB998" s="95"/>
      <c r="AC998" s="95"/>
    </row>
    <row r="999" ht="15.75" customHeight="1" spans="1:29">
      <c r="A999" s="95"/>
      <c r="B999" s="95"/>
      <c r="C999" s="102"/>
      <c r="D999" s="95"/>
      <c r="E999" s="95"/>
      <c r="F999" s="95"/>
      <c r="G999" s="95"/>
      <c r="H999" s="95"/>
      <c r="I999" s="95"/>
      <c r="J999" s="103"/>
      <c r="K999" s="95"/>
      <c r="L999" s="95"/>
      <c r="M999" s="104"/>
      <c r="N999" s="95"/>
      <c r="O999" s="95"/>
      <c r="P999" s="95"/>
      <c r="Q999" s="95"/>
      <c r="R999" s="95"/>
      <c r="S999" s="95"/>
      <c r="T999" s="95"/>
      <c r="U999" s="95"/>
      <c r="V999" s="95"/>
      <c r="W999" s="95"/>
      <c r="X999" s="95"/>
      <c r="Y999" s="95"/>
      <c r="Z999" s="95"/>
      <c r="AA999" s="95"/>
      <c r="AB999" s="95"/>
      <c r="AC999" s="95"/>
    </row>
    <row r="1000" ht="15.75" customHeight="1" spans="1:29">
      <c r="A1000" s="95"/>
      <c r="B1000" s="95"/>
      <c r="C1000" s="102"/>
      <c r="D1000" s="95"/>
      <c r="E1000" s="95"/>
      <c r="F1000" s="95"/>
      <c r="G1000" s="95"/>
      <c r="H1000" s="95"/>
      <c r="I1000" s="95"/>
      <c r="J1000" s="105"/>
      <c r="K1000" s="95"/>
      <c r="L1000" s="95"/>
      <c r="M1000" s="104"/>
      <c r="N1000" s="95"/>
      <c r="O1000" s="95"/>
      <c r="P1000" s="95"/>
      <c r="Q1000" s="95"/>
      <c r="R1000" s="95"/>
      <c r="S1000" s="95"/>
      <c r="T1000" s="95"/>
      <c r="U1000" s="95"/>
      <c r="V1000" s="95"/>
      <c r="W1000" s="95"/>
      <c r="X1000" s="95"/>
      <c r="Y1000" s="95"/>
      <c r="Z1000" s="95"/>
      <c r="AA1000" s="95"/>
      <c r="AB1000" s="95"/>
      <c r="AC1000" s="95"/>
    </row>
    <row r="1001" ht="15.75" customHeight="1" spans="1:29">
      <c r="A1001" s="95"/>
      <c r="B1001" s="95"/>
      <c r="C1001" s="102"/>
      <c r="D1001" s="95"/>
      <c r="E1001" s="95"/>
      <c r="F1001" s="95"/>
      <c r="G1001" s="95"/>
      <c r="H1001" s="95"/>
      <c r="I1001" s="95"/>
      <c r="J1001" s="105"/>
      <c r="K1001" s="95"/>
      <c r="L1001" s="95"/>
      <c r="M1001" s="104"/>
      <c r="N1001" s="95"/>
      <c r="O1001" s="95"/>
      <c r="P1001" s="95"/>
      <c r="Q1001" s="95"/>
      <c r="R1001" s="95"/>
      <c r="S1001" s="95"/>
      <c r="T1001" s="95"/>
      <c r="U1001" s="95"/>
      <c r="V1001" s="95"/>
      <c r="W1001" s="95"/>
      <c r="X1001" s="95"/>
      <c r="Y1001" s="95"/>
      <c r="Z1001" s="95"/>
      <c r="AA1001" s="95"/>
      <c r="AB1001" s="95"/>
      <c r="AC1001" s="95"/>
    </row>
    <row r="1002" ht="15.75" customHeight="1" spans="1:29">
      <c r="A1002" s="95"/>
      <c r="B1002" s="95"/>
      <c r="C1002" s="102"/>
      <c r="D1002" s="95"/>
      <c r="E1002" s="95"/>
      <c r="F1002" s="95"/>
      <c r="G1002" s="95"/>
      <c r="H1002" s="95"/>
      <c r="I1002" s="95"/>
      <c r="J1002" s="105"/>
      <c r="K1002" s="95"/>
      <c r="L1002" s="95"/>
      <c r="M1002" s="104"/>
      <c r="N1002" s="95"/>
      <c r="O1002" s="95"/>
      <c r="P1002" s="95"/>
      <c r="Q1002" s="95"/>
      <c r="R1002" s="95"/>
      <c r="S1002" s="95"/>
      <c r="T1002" s="95"/>
      <c r="U1002" s="95"/>
      <c r="V1002" s="95"/>
      <c r="W1002" s="95"/>
      <c r="X1002" s="95"/>
      <c r="Y1002" s="95"/>
      <c r="Z1002" s="95"/>
      <c r="AA1002" s="95"/>
      <c r="AB1002" s="95"/>
      <c r="AC1002" s="95"/>
    </row>
    <row r="1003" ht="15.75" customHeight="1" spans="1:29">
      <c r="A1003" s="95"/>
      <c r="B1003" s="95"/>
      <c r="C1003" s="102"/>
      <c r="D1003" s="95"/>
      <c r="E1003" s="95"/>
      <c r="F1003" s="95"/>
      <c r="G1003" s="95"/>
      <c r="H1003" s="95"/>
      <c r="I1003" s="95"/>
      <c r="J1003" s="103"/>
      <c r="K1003" s="95"/>
      <c r="L1003" s="95"/>
      <c r="M1003" s="104"/>
      <c r="N1003" s="95"/>
      <c r="O1003" s="95"/>
      <c r="P1003" s="95"/>
      <c r="Q1003" s="95"/>
      <c r="R1003" s="95"/>
      <c r="S1003" s="95"/>
      <c r="T1003" s="95"/>
      <c r="U1003" s="95"/>
      <c r="V1003" s="95"/>
      <c r="W1003" s="95"/>
      <c r="X1003" s="95"/>
      <c r="Y1003" s="95"/>
      <c r="Z1003" s="95"/>
      <c r="AA1003" s="95"/>
      <c r="AB1003" s="95"/>
      <c r="AC1003" s="95"/>
    </row>
    <row r="1004" ht="15.75" customHeight="1" spans="1:29">
      <c r="A1004" s="95"/>
      <c r="B1004" s="95"/>
      <c r="C1004" s="102"/>
      <c r="D1004" s="95"/>
      <c r="E1004" s="95"/>
      <c r="F1004" s="95"/>
      <c r="G1004" s="95"/>
      <c r="H1004" s="95"/>
      <c r="I1004" s="95"/>
      <c r="J1004" s="105"/>
      <c r="K1004" s="95"/>
      <c r="L1004" s="95"/>
      <c r="M1004" s="104"/>
      <c r="N1004" s="95"/>
      <c r="O1004" s="95"/>
      <c r="P1004" s="95"/>
      <c r="Q1004" s="95"/>
      <c r="R1004" s="95"/>
      <c r="S1004" s="95"/>
      <c r="T1004" s="95"/>
      <c r="U1004" s="95"/>
      <c r="V1004" s="95"/>
      <c r="W1004" s="95"/>
      <c r="X1004" s="95"/>
      <c r="Y1004" s="95"/>
      <c r="Z1004" s="95"/>
      <c r="AA1004" s="95"/>
      <c r="AB1004" s="95"/>
      <c r="AC1004" s="95"/>
    </row>
    <row r="1005" ht="15.75" customHeight="1" spans="1:29">
      <c r="A1005" s="95"/>
      <c r="B1005" s="95"/>
      <c r="C1005" s="102"/>
      <c r="D1005" s="95"/>
      <c r="E1005" s="95"/>
      <c r="F1005" s="95"/>
      <c r="G1005" s="95"/>
      <c r="H1005" s="95"/>
      <c r="I1005" s="95"/>
      <c r="J1005" s="105"/>
      <c r="K1005" s="95"/>
      <c r="L1005" s="95"/>
      <c r="M1005" s="104"/>
      <c r="N1005" s="95"/>
      <c r="O1005" s="95"/>
      <c r="P1005" s="95"/>
      <c r="Q1005" s="95"/>
      <c r="R1005" s="95"/>
      <c r="S1005" s="95"/>
      <c r="T1005" s="95"/>
      <c r="U1005" s="95"/>
      <c r="V1005" s="95"/>
      <c r="W1005" s="95"/>
      <c r="X1005" s="95"/>
      <c r="Y1005" s="95"/>
      <c r="Z1005" s="95"/>
      <c r="AA1005" s="95"/>
      <c r="AB1005" s="95"/>
      <c r="AC1005" s="95"/>
    </row>
    <row r="1006" ht="15.75" customHeight="1" spans="1:29">
      <c r="A1006" s="95"/>
      <c r="B1006" s="95"/>
      <c r="C1006" s="102"/>
      <c r="D1006" s="95"/>
      <c r="E1006" s="95"/>
      <c r="F1006" s="95"/>
      <c r="G1006" s="95"/>
      <c r="H1006" s="95"/>
      <c r="I1006" s="95"/>
      <c r="J1006" s="105"/>
      <c r="K1006" s="95"/>
      <c r="L1006" s="95"/>
      <c r="M1006" s="106"/>
      <c r="N1006" s="95"/>
      <c r="O1006" s="95"/>
      <c r="P1006" s="95"/>
      <c r="Q1006" s="95"/>
      <c r="R1006" s="95"/>
      <c r="S1006" s="95"/>
      <c r="T1006" s="95"/>
      <c r="U1006" s="95"/>
      <c r="V1006" s="95"/>
      <c r="W1006" s="95"/>
      <c r="X1006" s="95"/>
      <c r="Y1006" s="95"/>
      <c r="Z1006" s="95"/>
      <c r="AA1006" s="95"/>
      <c r="AB1006" s="95"/>
      <c r="AC1006" s="95"/>
    </row>
    <row r="1007" ht="15.75" customHeight="1" spans="1:29">
      <c r="A1007" s="95"/>
      <c r="B1007" s="95"/>
      <c r="C1007" s="102"/>
      <c r="D1007" s="95"/>
      <c r="E1007" s="95"/>
      <c r="F1007" s="95"/>
      <c r="G1007" s="95"/>
      <c r="H1007" s="95"/>
      <c r="I1007" s="95"/>
      <c r="J1007" s="105"/>
      <c r="K1007" s="95"/>
      <c r="L1007" s="95"/>
      <c r="M1007" s="104"/>
      <c r="N1007" s="95"/>
      <c r="O1007" s="95"/>
      <c r="P1007" s="95"/>
      <c r="Q1007" s="95"/>
      <c r="R1007" s="95"/>
      <c r="S1007" s="95"/>
      <c r="T1007" s="95"/>
      <c r="U1007" s="95"/>
      <c r="V1007" s="95"/>
      <c r="W1007" s="95"/>
      <c r="X1007" s="95"/>
      <c r="Y1007" s="95"/>
      <c r="Z1007" s="95"/>
      <c r="AA1007" s="95"/>
      <c r="AB1007" s="95"/>
      <c r="AC1007" s="95"/>
    </row>
    <row r="1008" ht="15.75" customHeight="1" spans="1:29">
      <c r="A1008" s="95"/>
      <c r="B1008" s="95"/>
      <c r="C1008" s="102"/>
      <c r="D1008" s="95"/>
      <c r="E1008" s="95"/>
      <c r="F1008" s="95"/>
      <c r="G1008" s="95"/>
      <c r="H1008" s="95"/>
      <c r="I1008" s="95"/>
      <c r="J1008" s="105"/>
      <c r="K1008" s="95"/>
      <c r="L1008" s="95"/>
      <c r="M1008" s="104"/>
      <c r="N1008" s="95"/>
      <c r="O1008" s="95"/>
      <c r="P1008" s="95"/>
      <c r="Q1008" s="95"/>
      <c r="R1008" s="95"/>
      <c r="S1008" s="95"/>
      <c r="T1008" s="95"/>
      <c r="U1008" s="95"/>
      <c r="V1008" s="95"/>
      <c r="W1008" s="95"/>
      <c r="X1008" s="95"/>
      <c r="Y1008" s="95"/>
      <c r="Z1008" s="95"/>
      <c r="AA1008" s="95"/>
      <c r="AB1008" s="95"/>
      <c r="AC1008" s="95"/>
    </row>
    <row r="1009" ht="15.75" customHeight="1" spans="1:29">
      <c r="A1009" s="95"/>
      <c r="B1009" s="95"/>
      <c r="C1009" s="102"/>
      <c r="D1009" s="95"/>
      <c r="E1009" s="95"/>
      <c r="F1009" s="95"/>
      <c r="G1009" s="95"/>
      <c r="H1009" s="95"/>
      <c r="I1009" s="95"/>
      <c r="J1009" s="105"/>
      <c r="K1009" s="95"/>
      <c r="L1009" s="95"/>
      <c r="M1009" s="104"/>
      <c r="N1009" s="95"/>
      <c r="O1009" s="95"/>
      <c r="P1009" s="95"/>
      <c r="Q1009" s="95"/>
      <c r="R1009" s="95"/>
      <c r="S1009" s="95"/>
      <c r="T1009" s="95"/>
      <c r="U1009" s="95"/>
      <c r="V1009" s="95"/>
      <c r="W1009" s="95"/>
      <c r="X1009" s="95"/>
      <c r="Y1009" s="95"/>
      <c r="Z1009" s="95"/>
      <c r="AA1009" s="95"/>
      <c r="AB1009" s="95"/>
      <c r="AC1009" s="95"/>
    </row>
    <row r="1010" ht="15.75" customHeight="1" spans="1:29">
      <c r="A1010" s="95"/>
      <c r="B1010" s="95"/>
      <c r="C1010" s="102"/>
      <c r="D1010" s="95"/>
      <c r="E1010" s="95"/>
      <c r="F1010" s="95"/>
      <c r="G1010" s="95"/>
      <c r="H1010" s="95"/>
      <c r="I1010" s="95"/>
      <c r="J1010" s="105"/>
      <c r="K1010" s="95"/>
      <c r="L1010" s="95"/>
      <c r="M1010" s="104"/>
      <c r="N1010" s="95"/>
      <c r="O1010" s="95"/>
      <c r="P1010" s="95"/>
      <c r="Q1010" s="95"/>
      <c r="R1010" s="95"/>
      <c r="S1010" s="95"/>
      <c r="T1010" s="95"/>
      <c r="U1010" s="95"/>
      <c r="V1010" s="95"/>
      <c r="W1010" s="95"/>
      <c r="X1010" s="95"/>
      <c r="Y1010" s="95"/>
      <c r="Z1010" s="95"/>
      <c r="AA1010" s="95"/>
      <c r="AB1010" s="95"/>
      <c r="AC1010" s="95"/>
    </row>
    <row r="1011" ht="15.75" customHeight="1" spans="1:29">
      <c r="A1011" s="95"/>
      <c r="B1011" s="95"/>
      <c r="C1011" s="102"/>
      <c r="D1011" s="95"/>
      <c r="E1011" s="95"/>
      <c r="F1011" s="95"/>
      <c r="G1011" s="95"/>
      <c r="H1011" s="95"/>
      <c r="I1011" s="95"/>
      <c r="J1011" s="105"/>
      <c r="K1011" s="95"/>
      <c r="L1011" s="95"/>
      <c r="M1011" s="106"/>
      <c r="N1011" s="95"/>
      <c r="O1011" s="95"/>
      <c r="P1011" s="95"/>
      <c r="Q1011" s="95"/>
      <c r="R1011" s="95"/>
      <c r="S1011" s="95"/>
      <c r="T1011" s="95"/>
      <c r="U1011" s="95"/>
      <c r="V1011" s="95"/>
      <c r="W1011" s="95"/>
      <c r="X1011" s="95"/>
      <c r="Y1011" s="95"/>
      <c r="Z1011" s="95"/>
      <c r="AA1011" s="95"/>
      <c r="AB1011" s="95"/>
      <c r="AC1011" s="95"/>
    </row>
    <row r="1012" ht="15.75" customHeight="1" spans="1:29">
      <c r="A1012" s="95"/>
      <c r="B1012" s="95"/>
      <c r="C1012" s="102"/>
      <c r="D1012" s="95"/>
      <c r="E1012" s="95"/>
      <c r="F1012" s="95"/>
      <c r="G1012" s="95"/>
      <c r="H1012" s="95"/>
      <c r="I1012" s="95"/>
      <c r="J1012" s="105"/>
      <c r="K1012" s="95"/>
      <c r="L1012" s="95"/>
      <c r="M1012" s="104"/>
      <c r="N1012" s="95"/>
      <c r="O1012" s="95"/>
      <c r="P1012" s="95"/>
      <c r="Q1012" s="95"/>
      <c r="R1012" s="95"/>
      <c r="S1012" s="95"/>
      <c r="T1012" s="95"/>
      <c r="U1012" s="95"/>
      <c r="V1012" s="95"/>
      <c r="W1012" s="95"/>
      <c r="X1012" s="95"/>
      <c r="Y1012" s="95"/>
      <c r="Z1012" s="95"/>
      <c r="AA1012" s="95"/>
      <c r="AB1012" s="95"/>
      <c r="AC1012" s="95"/>
    </row>
    <row r="1013" ht="15.75" customHeight="1" spans="1:29">
      <c r="A1013" s="95"/>
      <c r="B1013" s="95"/>
      <c r="C1013" s="102"/>
      <c r="D1013" s="95"/>
      <c r="E1013" s="95"/>
      <c r="F1013" s="95"/>
      <c r="G1013" s="95"/>
      <c r="H1013" s="95"/>
      <c r="I1013" s="95"/>
      <c r="J1013" s="105"/>
      <c r="K1013" s="95"/>
      <c r="L1013" s="95"/>
      <c r="M1013" s="104"/>
      <c r="N1013" s="95"/>
      <c r="O1013" s="95"/>
      <c r="P1013" s="95"/>
      <c r="Q1013" s="95"/>
      <c r="R1013" s="95"/>
      <c r="S1013" s="95"/>
      <c r="T1013" s="95"/>
      <c r="U1013" s="95"/>
      <c r="V1013" s="95"/>
      <c r="W1013" s="95"/>
      <c r="X1013" s="95"/>
      <c r="Y1013" s="95"/>
      <c r="Z1013" s="95"/>
      <c r="AA1013" s="95"/>
      <c r="AB1013" s="95"/>
      <c r="AC1013" s="95"/>
    </row>
    <row r="1014" ht="15.75" customHeight="1" spans="1:29">
      <c r="A1014" s="95"/>
      <c r="B1014" s="95"/>
      <c r="C1014" s="102"/>
      <c r="D1014" s="95"/>
      <c r="E1014" s="95"/>
      <c r="F1014" s="95"/>
      <c r="G1014" s="95"/>
      <c r="H1014" s="95"/>
      <c r="I1014" s="95"/>
      <c r="J1014" s="105"/>
      <c r="K1014" s="95"/>
      <c r="L1014" s="95"/>
      <c r="M1014" s="104"/>
      <c r="N1014" s="95"/>
      <c r="O1014" s="95"/>
      <c r="P1014" s="95"/>
      <c r="Q1014" s="95"/>
      <c r="R1014" s="95"/>
      <c r="S1014" s="95"/>
      <c r="T1014" s="95"/>
      <c r="U1014" s="95"/>
      <c r="V1014" s="95"/>
      <c r="W1014" s="95"/>
      <c r="X1014" s="95"/>
      <c r="Y1014" s="95"/>
      <c r="Z1014" s="95"/>
      <c r="AA1014" s="95"/>
      <c r="AB1014" s="95"/>
      <c r="AC1014" s="95"/>
    </row>
    <row r="1015" ht="15.75" customHeight="1" spans="1:29">
      <c r="A1015" s="95"/>
      <c r="B1015" s="95"/>
      <c r="C1015" s="102"/>
      <c r="D1015" s="95"/>
      <c r="E1015" s="95"/>
      <c r="F1015" s="95"/>
      <c r="G1015" s="95"/>
      <c r="H1015" s="95"/>
      <c r="I1015" s="95"/>
      <c r="J1015" s="95"/>
      <c r="K1015" s="95"/>
      <c r="L1015" s="95"/>
      <c r="M1015" s="95"/>
      <c r="N1015" s="95"/>
      <c r="O1015" s="95"/>
      <c r="P1015" s="95"/>
      <c r="Q1015" s="95"/>
      <c r="R1015" s="95"/>
      <c r="S1015" s="95"/>
      <c r="T1015" s="95"/>
      <c r="U1015" s="95"/>
      <c r="V1015" s="95"/>
      <c r="W1015" s="95"/>
      <c r="X1015" s="95"/>
      <c r="Y1015" s="95"/>
      <c r="Z1015" s="95"/>
      <c r="AA1015" s="95"/>
      <c r="AB1015" s="95"/>
      <c r="AC1015" s="95"/>
    </row>
    <row r="1016" ht="15.75" customHeight="1" spans="1:29">
      <c r="A1016" s="95"/>
      <c r="B1016" s="95"/>
      <c r="C1016" s="102"/>
      <c r="D1016" s="95"/>
      <c r="E1016" s="95"/>
      <c r="F1016" s="95"/>
      <c r="G1016" s="95"/>
      <c r="H1016" s="95"/>
      <c r="I1016" s="95"/>
      <c r="J1016" s="95"/>
      <c r="K1016" s="95"/>
      <c r="L1016" s="95"/>
      <c r="M1016" s="95"/>
      <c r="N1016" s="95"/>
      <c r="O1016" s="95"/>
      <c r="P1016" s="95"/>
      <c r="Q1016" s="95"/>
      <c r="R1016" s="95"/>
      <c r="S1016" s="95"/>
      <c r="T1016" s="95"/>
      <c r="U1016" s="95"/>
      <c r="V1016" s="95"/>
      <c r="W1016" s="95"/>
      <c r="X1016" s="95"/>
      <c r="Y1016" s="95"/>
      <c r="Z1016" s="95"/>
      <c r="AA1016" s="95"/>
      <c r="AB1016" s="95"/>
      <c r="AC1016" s="95"/>
    </row>
    <row r="1017" ht="15.75" customHeight="1" spans="1:29">
      <c r="A1017" s="95"/>
      <c r="B1017" s="95"/>
      <c r="C1017" s="102"/>
      <c r="D1017" s="95"/>
      <c r="E1017" s="95"/>
      <c r="F1017" s="95"/>
      <c r="G1017" s="95"/>
      <c r="H1017" s="95"/>
      <c r="I1017" s="95"/>
      <c r="J1017" s="95"/>
      <c r="K1017" s="95"/>
      <c r="L1017" s="95"/>
      <c r="M1017" s="95"/>
      <c r="N1017" s="95"/>
      <c r="O1017" s="95"/>
      <c r="P1017" s="95"/>
      <c r="Q1017" s="95"/>
      <c r="R1017" s="95"/>
      <c r="S1017" s="95"/>
      <c r="T1017" s="95"/>
      <c r="U1017" s="95"/>
      <c r="V1017" s="95"/>
      <c r="W1017" s="95"/>
      <c r="X1017" s="95"/>
      <c r="Y1017" s="95"/>
      <c r="Z1017" s="95"/>
      <c r="AA1017" s="95"/>
      <c r="AB1017" s="95"/>
      <c r="AC1017" s="95"/>
    </row>
    <row r="1018" ht="15.75" customHeight="1" spans="1:29">
      <c r="A1018" s="95"/>
      <c r="B1018" s="95"/>
      <c r="C1018" s="102"/>
      <c r="D1018" s="95"/>
      <c r="E1018" s="95"/>
      <c r="F1018" s="95"/>
      <c r="G1018" s="95"/>
      <c r="H1018" s="95"/>
      <c r="I1018" s="95"/>
      <c r="J1018" s="95"/>
      <c r="K1018" s="95"/>
      <c r="L1018" s="95"/>
      <c r="M1018" s="95"/>
      <c r="N1018" s="95"/>
      <c r="O1018" s="95"/>
      <c r="P1018" s="95"/>
      <c r="Q1018" s="95"/>
      <c r="R1018" s="95"/>
      <c r="S1018" s="95"/>
      <c r="T1018" s="95"/>
      <c r="U1018" s="95"/>
      <c r="V1018" s="95"/>
      <c r="W1018" s="95"/>
      <c r="X1018" s="95"/>
      <c r="Y1018" s="95"/>
      <c r="Z1018" s="95"/>
      <c r="AA1018" s="95"/>
      <c r="AB1018" s="95"/>
      <c r="AC1018" s="95"/>
    </row>
    <row r="1019" ht="15.75" customHeight="1" spans="1:29">
      <c r="A1019" s="95"/>
      <c r="B1019" s="95"/>
      <c r="C1019" s="102"/>
      <c r="D1019" s="95"/>
      <c r="E1019" s="95"/>
      <c r="F1019" s="95"/>
      <c r="G1019" s="95"/>
      <c r="H1019" s="95"/>
      <c r="I1019" s="95"/>
      <c r="J1019" s="95"/>
      <c r="K1019" s="95"/>
      <c r="L1019" s="95"/>
      <c r="M1019" s="95"/>
      <c r="N1019" s="95"/>
      <c r="O1019" s="95"/>
      <c r="P1019" s="95"/>
      <c r="Q1019" s="95"/>
      <c r="R1019" s="95"/>
      <c r="S1019" s="95"/>
      <c r="T1019" s="95"/>
      <c r="U1019" s="95"/>
      <c r="V1019" s="95"/>
      <c r="W1019" s="95"/>
      <c r="X1019" s="95"/>
      <c r="Y1019" s="95"/>
      <c r="Z1019" s="95"/>
      <c r="AA1019" s="95"/>
      <c r="AB1019" s="95"/>
      <c r="AC1019" s="95"/>
    </row>
    <row r="1020" ht="15.75" customHeight="1" spans="1:29">
      <c r="A1020" s="95"/>
      <c r="B1020" s="95"/>
      <c r="C1020" s="102"/>
      <c r="D1020" s="95"/>
      <c r="E1020" s="95"/>
      <c r="F1020" s="95"/>
      <c r="G1020" s="95"/>
      <c r="H1020" s="95"/>
      <c r="I1020" s="95"/>
      <c r="J1020" s="95"/>
      <c r="K1020" s="95"/>
      <c r="L1020" s="95"/>
      <c r="M1020" s="95"/>
      <c r="N1020" s="95"/>
      <c r="O1020" s="95"/>
      <c r="P1020" s="95"/>
      <c r="Q1020" s="95"/>
      <c r="R1020" s="95"/>
      <c r="S1020" s="95"/>
      <c r="T1020" s="95"/>
      <c r="U1020" s="95"/>
      <c r="V1020" s="95"/>
      <c r="W1020" s="95"/>
      <c r="X1020" s="95"/>
      <c r="Y1020" s="95"/>
      <c r="Z1020" s="95"/>
      <c r="AA1020" s="95"/>
      <c r="AB1020" s="95"/>
      <c r="AC1020" s="95"/>
    </row>
    <row r="1021" ht="15.75" customHeight="1" spans="1:29">
      <c r="A1021" s="95"/>
      <c r="B1021" s="95"/>
      <c r="C1021" s="102"/>
      <c r="D1021" s="95"/>
      <c r="E1021" s="95"/>
      <c r="F1021" s="95"/>
      <c r="G1021" s="95"/>
      <c r="H1021" s="95"/>
      <c r="I1021" s="95"/>
      <c r="J1021" s="95"/>
      <c r="K1021" s="95"/>
      <c r="L1021" s="95"/>
      <c r="M1021" s="95"/>
      <c r="N1021" s="95"/>
      <c r="O1021" s="95"/>
      <c r="P1021" s="95"/>
      <c r="Q1021" s="95"/>
      <c r="R1021" s="95"/>
      <c r="S1021" s="95"/>
      <c r="T1021" s="95"/>
      <c r="U1021" s="95"/>
      <c r="V1021" s="95"/>
      <c r="W1021" s="95"/>
      <c r="X1021" s="95"/>
      <c r="Y1021" s="95"/>
      <c r="Z1021" s="95"/>
      <c r="AA1021" s="95"/>
      <c r="AB1021" s="95"/>
      <c r="AC1021" s="95"/>
    </row>
    <row r="1022" ht="15.75" customHeight="1" spans="1:29">
      <c r="A1022" s="95"/>
      <c r="B1022" s="95"/>
      <c r="C1022" s="102"/>
      <c r="D1022" s="95"/>
      <c r="E1022" s="95"/>
      <c r="F1022" s="95"/>
      <c r="G1022" s="95"/>
      <c r="H1022" s="95"/>
      <c r="I1022" s="95"/>
      <c r="J1022" s="95"/>
      <c r="K1022" s="95"/>
      <c r="L1022" s="95"/>
      <c r="M1022" s="95"/>
      <c r="N1022" s="95"/>
      <c r="O1022" s="95"/>
      <c r="P1022" s="95"/>
      <c r="Q1022" s="95"/>
      <c r="R1022" s="95"/>
      <c r="S1022" s="95"/>
      <c r="T1022" s="95"/>
      <c r="U1022" s="95"/>
      <c r="V1022" s="95"/>
      <c r="W1022" s="95"/>
      <c r="X1022" s="95"/>
      <c r="Y1022" s="95"/>
      <c r="Z1022" s="95"/>
      <c r="AA1022" s="95"/>
      <c r="AB1022" s="95"/>
      <c r="AC1022" s="95"/>
    </row>
    <row r="1023" ht="15.75" customHeight="1" spans="1:29">
      <c r="A1023" s="95"/>
      <c r="B1023" s="95"/>
      <c r="C1023" s="102"/>
      <c r="D1023" s="95"/>
      <c r="E1023" s="95"/>
      <c r="F1023" s="95"/>
      <c r="G1023" s="95"/>
      <c r="H1023" s="95"/>
      <c r="I1023" s="95"/>
      <c r="J1023" s="95"/>
      <c r="K1023" s="95"/>
      <c r="L1023" s="95"/>
      <c r="M1023" s="95"/>
      <c r="N1023" s="95"/>
      <c r="O1023" s="95"/>
      <c r="P1023" s="95"/>
      <c r="Q1023" s="95"/>
      <c r="R1023" s="95"/>
      <c r="S1023" s="95"/>
      <c r="T1023" s="95"/>
      <c r="U1023" s="95"/>
      <c r="V1023" s="95"/>
      <c r="W1023" s="95"/>
      <c r="X1023" s="95"/>
      <c r="Y1023" s="95"/>
      <c r="Z1023" s="95"/>
      <c r="AA1023" s="95"/>
      <c r="AB1023" s="95"/>
      <c r="AC1023" s="95"/>
    </row>
    <row r="1024" ht="15.75" customHeight="1" spans="1:29">
      <c r="A1024" s="95"/>
      <c r="B1024" s="95"/>
      <c r="C1024" s="102"/>
      <c r="D1024" s="95"/>
      <c r="E1024" s="95"/>
      <c r="F1024" s="95"/>
      <c r="G1024" s="95"/>
      <c r="H1024" s="95"/>
      <c r="I1024" s="95"/>
      <c r="J1024" s="95"/>
      <c r="K1024" s="95"/>
      <c r="L1024" s="95"/>
      <c r="M1024" s="95"/>
      <c r="N1024" s="95"/>
      <c r="O1024" s="95"/>
      <c r="P1024" s="95"/>
      <c r="Q1024" s="95"/>
      <c r="R1024" s="95"/>
      <c r="S1024" s="95"/>
      <c r="T1024" s="95"/>
      <c r="U1024" s="95"/>
      <c r="V1024" s="95"/>
      <c r="W1024" s="95"/>
      <c r="X1024" s="95"/>
      <c r="Y1024" s="95"/>
      <c r="Z1024" s="95"/>
      <c r="AA1024" s="95"/>
      <c r="AB1024" s="95"/>
      <c r="AC1024" s="95"/>
    </row>
    <row r="1025" ht="15.75" customHeight="1" spans="1:29">
      <c r="A1025" s="95"/>
      <c r="B1025" s="95"/>
      <c r="C1025" s="102"/>
      <c r="D1025" s="95"/>
      <c r="E1025" s="95"/>
      <c r="F1025" s="95"/>
      <c r="G1025" s="95"/>
      <c r="H1025" s="95"/>
      <c r="I1025" s="95"/>
      <c r="J1025" s="95"/>
      <c r="K1025" s="95"/>
      <c r="L1025" s="95"/>
      <c r="M1025" s="95"/>
      <c r="N1025" s="95"/>
      <c r="O1025" s="95"/>
      <c r="P1025" s="95"/>
      <c r="Q1025" s="95"/>
      <c r="R1025" s="95"/>
      <c r="S1025" s="95"/>
      <c r="T1025" s="95"/>
      <c r="U1025" s="95"/>
      <c r="V1025" s="95"/>
      <c r="W1025" s="95"/>
      <c r="X1025" s="95"/>
      <c r="Y1025" s="95"/>
      <c r="Z1025" s="95"/>
      <c r="AA1025" s="95"/>
      <c r="AB1025" s="95"/>
      <c r="AC1025" s="95"/>
    </row>
    <row r="1026" ht="15.75" customHeight="1" spans="1:29">
      <c r="A1026" s="95"/>
      <c r="B1026" s="95"/>
      <c r="C1026" s="102"/>
      <c r="D1026" s="95"/>
      <c r="E1026" s="95"/>
      <c r="F1026" s="95"/>
      <c r="G1026" s="95"/>
      <c r="H1026" s="95"/>
      <c r="I1026" s="95"/>
      <c r="J1026" s="95"/>
      <c r="K1026" s="95"/>
      <c r="L1026" s="95"/>
      <c r="M1026" s="95"/>
      <c r="N1026" s="95"/>
      <c r="O1026" s="95"/>
      <c r="P1026" s="95"/>
      <c r="Q1026" s="95"/>
      <c r="R1026" s="95"/>
      <c r="S1026" s="95"/>
      <c r="T1026" s="95"/>
      <c r="U1026" s="95"/>
      <c r="V1026" s="95"/>
      <c r="W1026" s="95"/>
      <c r="X1026" s="95"/>
      <c r="Y1026" s="95"/>
      <c r="Z1026" s="95"/>
      <c r="AA1026" s="95"/>
      <c r="AB1026" s="95"/>
      <c r="AC1026" s="95"/>
    </row>
    <row r="1027" ht="15.75" customHeight="1" spans="1:29">
      <c r="A1027" s="95"/>
      <c r="B1027" s="95"/>
      <c r="C1027" s="102"/>
      <c r="D1027" s="95"/>
      <c r="E1027" s="95"/>
      <c r="F1027" s="95"/>
      <c r="G1027" s="95"/>
      <c r="H1027" s="95"/>
      <c r="I1027" s="95"/>
      <c r="J1027" s="95"/>
      <c r="K1027" s="95"/>
      <c r="L1027" s="95"/>
      <c r="M1027" s="95"/>
      <c r="N1027" s="95"/>
      <c r="O1027" s="95"/>
      <c r="P1027" s="95"/>
      <c r="Q1027" s="95"/>
      <c r="R1027" s="95"/>
      <c r="S1027" s="95"/>
      <c r="T1027" s="95"/>
      <c r="U1027" s="95"/>
      <c r="V1027" s="95"/>
      <c r="W1027" s="95"/>
      <c r="X1027" s="95"/>
      <c r="Y1027" s="95"/>
      <c r="Z1027" s="95"/>
      <c r="AA1027" s="95"/>
      <c r="AB1027" s="95"/>
      <c r="AC1027" s="95"/>
    </row>
    <row r="1028" ht="15.75" customHeight="1" spans="1:29">
      <c r="A1028" s="95"/>
      <c r="B1028" s="95"/>
      <c r="C1028" s="102"/>
      <c r="D1028" s="95"/>
      <c r="E1028" s="95"/>
      <c r="F1028" s="95"/>
      <c r="G1028" s="95"/>
      <c r="H1028" s="95"/>
      <c r="I1028" s="95"/>
      <c r="J1028" s="95"/>
      <c r="K1028" s="95"/>
      <c r="L1028" s="95"/>
      <c r="M1028" s="95"/>
      <c r="N1028" s="95"/>
      <c r="O1028" s="95"/>
      <c r="P1028" s="95"/>
      <c r="Q1028" s="95"/>
      <c r="R1028" s="95"/>
      <c r="S1028" s="95"/>
      <c r="T1028" s="95"/>
      <c r="U1028" s="95"/>
      <c r="V1028" s="95"/>
      <c r="W1028" s="95"/>
      <c r="X1028" s="95"/>
      <c r="Y1028" s="95"/>
      <c r="Z1028" s="95"/>
      <c r="AA1028" s="95"/>
      <c r="AB1028" s="95"/>
      <c r="AC1028" s="95"/>
    </row>
    <row r="1029" ht="15.75" customHeight="1" spans="1:29">
      <c r="A1029" s="95"/>
      <c r="B1029" s="95"/>
      <c r="C1029" s="102"/>
      <c r="D1029" s="95"/>
      <c r="E1029" s="95"/>
      <c r="F1029" s="95"/>
      <c r="G1029" s="95"/>
      <c r="H1029" s="95"/>
      <c r="I1029" s="95"/>
      <c r="J1029" s="95"/>
      <c r="K1029" s="95"/>
      <c r="L1029" s="95"/>
      <c r="M1029" s="95"/>
      <c r="N1029" s="95"/>
      <c r="O1029" s="95"/>
      <c r="P1029" s="95"/>
      <c r="Q1029" s="95"/>
      <c r="R1029" s="95"/>
      <c r="S1029" s="95"/>
      <c r="T1029" s="95"/>
      <c r="U1029" s="95"/>
      <c r="V1029" s="95"/>
      <c r="W1029" s="95"/>
      <c r="X1029" s="95"/>
      <c r="Y1029" s="95"/>
      <c r="Z1029" s="95"/>
      <c r="AA1029" s="95"/>
      <c r="AB1029" s="95"/>
      <c r="AC1029" s="95"/>
    </row>
    <row r="1030" ht="15.75" customHeight="1" spans="1:29">
      <c r="A1030" s="95"/>
      <c r="B1030" s="95"/>
      <c r="C1030" s="102"/>
      <c r="D1030" s="95"/>
      <c r="E1030" s="95"/>
      <c r="F1030" s="95"/>
      <c r="G1030" s="95"/>
      <c r="H1030" s="95"/>
      <c r="I1030" s="95"/>
      <c r="J1030" s="95"/>
      <c r="K1030" s="95"/>
      <c r="L1030" s="95"/>
      <c r="M1030" s="95"/>
      <c r="N1030" s="95"/>
      <c r="O1030" s="95"/>
      <c r="P1030" s="95"/>
      <c r="Q1030" s="95"/>
      <c r="R1030" s="95"/>
      <c r="S1030" s="95"/>
      <c r="T1030" s="95"/>
      <c r="U1030" s="95"/>
      <c r="V1030" s="95"/>
      <c r="W1030" s="95"/>
      <c r="X1030" s="95"/>
      <c r="Y1030" s="95"/>
      <c r="Z1030" s="95"/>
      <c r="AA1030" s="95"/>
      <c r="AB1030" s="95"/>
      <c r="AC1030" s="95"/>
    </row>
    <row r="1031" ht="15.75" customHeight="1" spans="1:29">
      <c r="A1031" s="95"/>
      <c r="B1031" s="95"/>
      <c r="C1031" s="102"/>
      <c r="D1031" s="95"/>
      <c r="E1031" s="95"/>
      <c r="F1031" s="95"/>
      <c r="G1031" s="95"/>
      <c r="H1031" s="95"/>
      <c r="I1031" s="95"/>
      <c r="J1031" s="95"/>
      <c r="K1031" s="95"/>
      <c r="L1031" s="95"/>
      <c r="M1031" s="95"/>
      <c r="N1031" s="95"/>
      <c r="O1031" s="95"/>
      <c r="P1031" s="95"/>
      <c r="Q1031" s="95"/>
      <c r="R1031" s="95"/>
      <c r="S1031" s="95"/>
      <c r="T1031" s="95"/>
      <c r="U1031" s="95"/>
      <c r="V1031" s="95"/>
      <c r="W1031" s="95"/>
      <c r="X1031" s="95"/>
      <c r="Y1031" s="95"/>
      <c r="Z1031" s="95"/>
      <c r="AA1031" s="95"/>
      <c r="AB1031" s="95"/>
      <c r="AC1031" s="95"/>
    </row>
    <row r="1032" ht="15.75" customHeight="1" spans="1:29">
      <c r="A1032" s="95"/>
      <c r="B1032" s="95"/>
      <c r="C1032" s="102"/>
      <c r="D1032" s="95"/>
      <c r="E1032" s="95"/>
      <c r="F1032" s="95"/>
      <c r="G1032" s="95"/>
      <c r="H1032" s="95"/>
      <c r="I1032" s="95"/>
      <c r="J1032" s="95"/>
      <c r="K1032" s="95"/>
      <c r="L1032" s="95"/>
      <c r="M1032" s="95"/>
      <c r="N1032" s="95"/>
      <c r="O1032" s="95"/>
      <c r="P1032" s="95"/>
      <c r="Q1032" s="95"/>
      <c r="R1032" s="95"/>
      <c r="S1032" s="95"/>
      <c r="T1032" s="95"/>
      <c r="U1032" s="95"/>
      <c r="V1032" s="95"/>
      <c r="W1032" s="95"/>
      <c r="X1032" s="95"/>
      <c r="Y1032" s="95"/>
      <c r="Z1032" s="95"/>
      <c r="AA1032" s="95"/>
      <c r="AB1032" s="95"/>
      <c r="AC1032" s="95"/>
    </row>
    <row r="1033" ht="15.75" customHeight="1" spans="1:29">
      <c r="A1033" s="95"/>
      <c r="B1033" s="95"/>
      <c r="C1033" s="102"/>
      <c r="D1033" s="95"/>
      <c r="E1033" s="95"/>
      <c r="F1033" s="95"/>
      <c r="G1033" s="95"/>
      <c r="H1033" s="95"/>
      <c r="I1033" s="95"/>
      <c r="J1033" s="95"/>
      <c r="K1033" s="95"/>
      <c r="L1033" s="95"/>
      <c r="M1033" s="95"/>
      <c r="N1033" s="95"/>
      <c r="O1033" s="95"/>
      <c r="P1033" s="95"/>
      <c r="Q1033" s="95"/>
      <c r="R1033" s="95"/>
      <c r="S1033" s="95"/>
      <c r="T1033" s="95"/>
      <c r="U1033" s="95"/>
      <c r="V1033" s="95"/>
      <c r="W1033" s="95"/>
      <c r="X1033" s="95"/>
      <c r="Y1033" s="95"/>
      <c r="Z1033" s="95"/>
      <c r="AA1033" s="95"/>
      <c r="AB1033" s="95"/>
      <c r="AC1033" s="95"/>
    </row>
    <row r="1034" ht="15.75" customHeight="1" spans="1:29">
      <c r="A1034" s="95"/>
      <c r="B1034" s="95"/>
      <c r="C1034" s="102"/>
      <c r="D1034" s="95"/>
      <c r="E1034" s="95"/>
      <c r="F1034" s="95"/>
      <c r="G1034" s="95"/>
      <c r="H1034" s="95"/>
      <c r="I1034" s="95"/>
      <c r="J1034" s="95"/>
      <c r="K1034" s="95"/>
      <c r="L1034" s="95"/>
      <c r="M1034" s="95"/>
      <c r="N1034" s="95"/>
      <c r="O1034" s="95"/>
      <c r="P1034" s="95"/>
      <c r="Q1034" s="95"/>
      <c r="R1034" s="95"/>
      <c r="S1034" s="95"/>
      <c r="T1034" s="95"/>
      <c r="U1034" s="95"/>
      <c r="V1034" s="95"/>
      <c r="W1034" s="95"/>
      <c r="X1034" s="95"/>
      <c r="Y1034" s="95"/>
      <c r="Z1034" s="95"/>
      <c r="AA1034" s="95"/>
      <c r="AB1034" s="95"/>
      <c r="AC1034" s="95"/>
    </row>
    <row r="1035" ht="15.75" customHeight="1" spans="1:29">
      <c r="A1035" s="95"/>
      <c r="B1035" s="95"/>
      <c r="C1035" s="102"/>
      <c r="D1035" s="95"/>
      <c r="E1035" s="95"/>
      <c r="F1035" s="95"/>
      <c r="G1035" s="95"/>
      <c r="H1035" s="95"/>
      <c r="I1035" s="95"/>
      <c r="J1035" s="95"/>
      <c r="K1035" s="95"/>
      <c r="L1035" s="95"/>
      <c r="M1035" s="95"/>
      <c r="N1035" s="95"/>
      <c r="O1035" s="95"/>
      <c r="P1035" s="95"/>
      <c r="Q1035" s="95"/>
      <c r="R1035" s="95"/>
      <c r="S1035" s="95"/>
      <c r="T1035" s="95"/>
      <c r="U1035" s="95"/>
      <c r="V1035" s="95"/>
      <c r="W1035" s="95"/>
      <c r="X1035" s="95"/>
      <c r="Y1035" s="95"/>
      <c r="Z1035" s="95"/>
      <c r="AA1035" s="95"/>
      <c r="AB1035" s="95"/>
      <c r="AC1035" s="95"/>
    </row>
    <row r="1036" ht="15.75" customHeight="1" spans="1:29">
      <c r="A1036" s="95"/>
      <c r="B1036" s="95"/>
      <c r="C1036" s="102"/>
      <c r="D1036" s="95"/>
      <c r="E1036" s="95"/>
      <c r="F1036" s="95"/>
      <c r="G1036" s="95"/>
      <c r="H1036" s="95"/>
      <c r="I1036" s="95"/>
      <c r="J1036" s="95"/>
      <c r="K1036" s="95"/>
      <c r="L1036" s="95"/>
      <c r="M1036" s="95"/>
      <c r="N1036" s="95"/>
      <c r="O1036" s="95"/>
      <c r="P1036" s="95"/>
      <c r="Q1036" s="95"/>
      <c r="R1036" s="95"/>
      <c r="S1036" s="95"/>
      <c r="T1036" s="95"/>
      <c r="U1036" s="95"/>
      <c r="V1036" s="95"/>
      <c r="W1036" s="95"/>
      <c r="X1036" s="95"/>
      <c r="Y1036" s="95"/>
      <c r="Z1036" s="95"/>
      <c r="AA1036" s="95"/>
      <c r="AB1036" s="95"/>
      <c r="AC1036" s="95"/>
    </row>
    <row r="1037" ht="15.75" customHeight="1" spans="1:29">
      <c r="A1037" s="95"/>
      <c r="B1037" s="95"/>
      <c r="C1037" s="102"/>
      <c r="D1037" s="95"/>
      <c r="E1037" s="95"/>
      <c r="F1037" s="95"/>
      <c r="G1037" s="95"/>
      <c r="H1037" s="95"/>
      <c r="I1037" s="95"/>
      <c r="J1037" s="95"/>
      <c r="K1037" s="95"/>
      <c r="L1037" s="95"/>
      <c r="M1037" s="95"/>
      <c r="N1037" s="95"/>
      <c r="O1037" s="95"/>
      <c r="P1037" s="95"/>
      <c r="Q1037" s="95"/>
      <c r="R1037" s="95"/>
      <c r="S1037" s="95"/>
      <c r="T1037" s="95"/>
      <c r="U1037" s="95"/>
      <c r="V1037" s="95"/>
      <c r="W1037" s="95"/>
      <c r="X1037" s="95"/>
      <c r="Y1037" s="95"/>
      <c r="Z1037" s="95"/>
      <c r="AA1037" s="95"/>
      <c r="AB1037" s="95"/>
      <c r="AC1037" s="95"/>
    </row>
    <row r="1038" ht="15.75" customHeight="1" spans="1:29">
      <c r="A1038" s="95"/>
      <c r="B1038" s="95"/>
      <c r="C1038" s="102"/>
      <c r="D1038" s="95"/>
      <c r="E1038" s="95"/>
      <c r="F1038" s="95"/>
      <c r="G1038" s="95"/>
      <c r="H1038" s="95"/>
      <c r="I1038" s="95"/>
      <c r="J1038" s="95"/>
      <c r="K1038" s="95"/>
      <c r="L1038" s="95"/>
      <c r="M1038" s="95"/>
      <c r="N1038" s="95"/>
      <c r="O1038" s="95"/>
      <c r="P1038" s="95"/>
      <c r="Q1038" s="95"/>
      <c r="R1038" s="95"/>
      <c r="S1038" s="95"/>
      <c r="T1038" s="95"/>
      <c r="U1038" s="95"/>
      <c r="V1038" s="95"/>
      <c r="W1038" s="95"/>
      <c r="X1038" s="95"/>
      <c r="Y1038" s="95"/>
      <c r="Z1038" s="95"/>
      <c r="AA1038" s="95"/>
      <c r="AB1038" s="95"/>
      <c r="AC1038" s="95"/>
    </row>
    <row r="1039" ht="15.75" customHeight="1" spans="1:29">
      <c r="A1039" s="95"/>
      <c r="B1039" s="95"/>
      <c r="C1039" s="102"/>
      <c r="D1039" s="95"/>
      <c r="E1039" s="95"/>
      <c r="F1039" s="95"/>
      <c r="G1039" s="95"/>
      <c r="H1039" s="95"/>
      <c r="I1039" s="95"/>
      <c r="J1039" s="95"/>
      <c r="K1039" s="95"/>
      <c r="L1039" s="95"/>
      <c r="M1039" s="95"/>
      <c r="N1039" s="95"/>
      <c r="O1039" s="95"/>
      <c r="P1039" s="95"/>
      <c r="Q1039" s="95"/>
      <c r="R1039" s="95"/>
      <c r="S1039" s="95"/>
      <c r="T1039" s="95"/>
      <c r="U1039" s="95"/>
      <c r="V1039" s="95"/>
      <c r="W1039" s="95"/>
      <c r="X1039" s="95"/>
      <c r="Y1039" s="95"/>
      <c r="Z1039" s="95"/>
      <c r="AA1039" s="95"/>
      <c r="AB1039" s="95"/>
      <c r="AC1039" s="95"/>
    </row>
    <row r="1040" ht="15.75" customHeight="1" spans="1:29">
      <c r="A1040" s="95"/>
      <c r="B1040" s="95"/>
      <c r="C1040" s="102"/>
      <c r="D1040" s="95"/>
      <c r="E1040" s="95"/>
      <c r="F1040" s="95"/>
      <c r="G1040" s="95"/>
      <c r="H1040" s="95"/>
      <c r="I1040" s="95"/>
      <c r="J1040" s="95"/>
      <c r="K1040" s="95"/>
      <c r="L1040" s="95"/>
      <c r="M1040" s="95"/>
      <c r="N1040" s="95"/>
      <c r="O1040" s="95"/>
      <c r="P1040" s="95"/>
      <c r="Q1040" s="95"/>
      <c r="R1040" s="95"/>
      <c r="S1040" s="95"/>
      <c r="T1040" s="95"/>
      <c r="U1040" s="95"/>
      <c r="V1040" s="95"/>
      <c r="W1040" s="95"/>
      <c r="X1040" s="95"/>
      <c r="Y1040" s="95"/>
      <c r="Z1040" s="95"/>
      <c r="AA1040" s="95"/>
      <c r="AB1040" s="95"/>
      <c r="AC1040" s="95"/>
    </row>
    <row r="1041" ht="15.75" customHeight="1" spans="1:29">
      <c r="A1041" s="95"/>
      <c r="B1041" s="95"/>
      <c r="C1041" s="102"/>
      <c r="D1041" s="95"/>
      <c r="E1041" s="95"/>
      <c r="F1041" s="95"/>
      <c r="G1041" s="95"/>
      <c r="H1041" s="95"/>
      <c r="I1041" s="95"/>
      <c r="J1041" s="95"/>
      <c r="K1041" s="95"/>
      <c r="L1041" s="95"/>
      <c r="M1041" s="95"/>
      <c r="N1041" s="95"/>
      <c r="O1041" s="95"/>
      <c r="P1041" s="95"/>
      <c r="Q1041" s="95"/>
      <c r="R1041" s="95"/>
      <c r="S1041" s="95"/>
      <c r="T1041" s="95"/>
      <c r="U1041" s="95"/>
      <c r="V1041" s="95"/>
      <c r="W1041" s="95"/>
      <c r="X1041" s="95"/>
      <c r="Y1041" s="95"/>
      <c r="Z1041" s="95"/>
      <c r="AA1041" s="95"/>
      <c r="AB1041" s="95"/>
      <c r="AC1041" s="95"/>
    </row>
    <row r="1042" ht="15.75" customHeight="1" spans="1:29">
      <c r="A1042" s="95"/>
      <c r="B1042" s="95"/>
      <c r="C1042" s="102"/>
      <c r="D1042" s="95"/>
      <c r="E1042" s="95"/>
      <c r="F1042" s="95"/>
      <c r="G1042" s="95"/>
      <c r="H1042" s="95"/>
      <c r="I1042" s="95"/>
      <c r="J1042" s="95"/>
      <c r="K1042" s="95"/>
      <c r="L1042" s="95"/>
      <c r="M1042" s="95"/>
      <c r="N1042" s="95"/>
      <c r="O1042" s="95"/>
      <c r="P1042" s="95"/>
      <c r="Q1042" s="95"/>
      <c r="R1042" s="95"/>
      <c r="S1042" s="95"/>
      <c r="T1042" s="95"/>
      <c r="U1042" s="95"/>
      <c r="V1042" s="95"/>
      <c r="W1042" s="95"/>
      <c r="X1042" s="95"/>
      <c r="Y1042" s="95"/>
      <c r="Z1042" s="95"/>
      <c r="AA1042" s="95"/>
      <c r="AB1042" s="95"/>
      <c r="AC1042" s="95"/>
    </row>
    <row r="1043" ht="15.75" customHeight="1" spans="1:29">
      <c r="A1043" s="95"/>
      <c r="B1043" s="95"/>
      <c r="C1043" s="102"/>
      <c r="D1043" s="95"/>
      <c r="E1043" s="95"/>
      <c r="F1043" s="95"/>
      <c r="G1043" s="95"/>
      <c r="H1043" s="95"/>
      <c r="I1043" s="95"/>
      <c r="J1043" s="95"/>
      <c r="K1043" s="95"/>
      <c r="L1043" s="95"/>
      <c r="M1043" s="95"/>
      <c r="N1043" s="95"/>
      <c r="O1043" s="95"/>
      <c r="P1043" s="95"/>
      <c r="Q1043" s="95"/>
      <c r="R1043" s="95"/>
      <c r="S1043" s="95"/>
      <c r="T1043" s="95"/>
      <c r="U1043" s="95"/>
      <c r="V1043" s="95"/>
      <c r="W1043" s="95"/>
      <c r="X1043" s="95"/>
      <c r="Y1043" s="95"/>
      <c r="Z1043" s="95"/>
      <c r="AA1043" s="95"/>
      <c r="AB1043" s="95"/>
      <c r="AC1043" s="95"/>
    </row>
    <row r="1044" ht="15.75" customHeight="1" spans="1:29">
      <c r="A1044" s="95"/>
      <c r="B1044" s="95"/>
      <c r="C1044" s="102"/>
      <c r="D1044" s="95"/>
      <c r="E1044" s="95"/>
      <c r="F1044" s="95"/>
      <c r="G1044" s="95"/>
      <c r="H1044" s="95"/>
      <c r="I1044" s="95"/>
      <c r="J1044" s="95"/>
      <c r="K1044" s="95"/>
      <c r="L1044" s="95"/>
      <c r="M1044" s="95"/>
      <c r="N1044" s="95"/>
      <c r="O1044" s="95"/>
      <c r="P1044" s="95"/>
      <c r="Q1044" s="95"/>
      <c r="R1044" s="95"/>
      <c r="S1044" s="95"/>
      <c r="T1044" s="95"/>
      <c r="U1044" s="95"/>
      <c r="V1044" s="95"/>
      <c r="W1044" s="95"/>
      <c r="X1044" s="95"/>
      <c r="Y1044" s="95"/>
      <c r="Z1044" s="95"/>
      <c r="AA1044" s="95"/>
      <c r="AB1044" s="95"/>
      <c r="AC1044" s="95"/>
    </row>
    <row r="1045" ht="15.75" customHeight="1" spans="1:29">
      <c r="A1045" s="95"/>
      <c r="B1045" s="95"/>
      <c r="C1045" s="102"/>
      <c r="D1045" s="95"/>
      <c r="E1045" s="95"/>
      <c r="F1045" s="95"/>
      <c r="G1045" s="95"/>
      <c r="H1045" s="95"/>
      <c r="I1045" s="95"/>
      <c r="J1045" s="95"/>
      <c r="K1045" s="95"/>
      <c r="L1045" s="95"/>
      <c r="M1045" s="95"/>
      <c r="N1045" s="95"/>
      <c r="O1045" s="95"/>
      <c r="P1045" s="95"/>
      <c r="Q1045" s="95"/>
      <c r="R1045" s="95"/>
      <c r="S1045" s="95"/>
      <c r="T1045" s="95"/>
      <c r="U1045" s="95"/>
      <c r="V1045" s="95"/>
      <c r="W1045" s="95"/>
      <c r="X1045" s="95"/>
      <c r="Y1045" s="95"/>
      <c r="Z1045" s="95"/>
      <c r="AA1045" s="95"/>
      <c r="AB1045" s="95"/>
      <c r="AC1045" s="95"/>
    </row>
    <row r="1046" ht="15.75" customHeight="1" spans="1:29">
      <c r="A1046" s="95"/>
      <c r="B1046" s="95"/>
      <c r="C1046" s="102"/>
      <c r="D1046" s="95"/>
      <c r="E1046" s="95"/>
      <c r="F1046" s="95"/>
      <c r="G1046" s="95"/>
      <c r="H1046" s="95"/>
      <c r="I1046" s="95"/>
      <c r="J1046" s="95"/>
      <c r="K1046" s="95"/>
      <c r="L1046" s="95"/>
      <c r="M1046" s="95"/>
      <c r="N1046" s="95"/>
      <c r="O1046" s="95"/>
      <c r="P1046" s="95"/>
      <c r="Q1046" s="95"/>
      <c r="R1046" s="95"/>
      <c r="S1046" s="95"/>
      <c r="T1046" s="95"/>
      <c r="U1046" s="95"/>
      <c r="V1046" s="95"/>
      <c r="W1046" s="95"/>
      <c r="X1046" s="95"/>
      <c r="Y1046" s="95"/>
      <c r="Z1046" s="95"/>
      <c r="AA1046" s="95"/>
      <c r="AB1046" s="95"/>
      <c r="AC1046" s="95"/>
    </row>
    <row r="1047" ht="15.75" customHeight="1" spans="1:29">
      <c r="A1047" s="95"/>
      <c r="B1047" s="95"/>
      <c r="C1047" s="102"/>
      <c r="D1047" s="95"/>
      <c r="E1047" s="95"/>
      <c r="F1047" s="95"/>
      <c r="G1047" s="95"/>
      <c r="H1047" s="95"/>
      <c r="I1047" s="95"/>
      <c r="J1047" s="95"/>
      <c r="K1047" s="95"/>
      <c r="L1047" s="95"/>
      <c r="M1047" s="95"/>
      <c r="N1047" s="95"/>
      <c r="O1047" s="95"/>
      <c r="P1047" s="95"/>
      <c r="Q1047" s="95"/>
      <c r="R1047" s="95"/>
      <c r="S1047" s="95"/>
      <c r="T1047" s="95"/>
      <c r="U1047" s="95"/>
      <c r="V1047" s="95"/>
      <c r="W1047" s="95"/>
      <c r="X1047" s="95"/>
      <c r="Y1047" s="95"/>
      <c r="Z1047" s="95"/>
      <c r="AA1047" s="95"/>
      <c r="AB1047" s="95"/>
      <c r="AC1047" s="95"/>
    </row>
    <row r="1048" ht="15.75" customHeight="1" spans="1:29">
      <c r="A1048" s="95"/>
      <c r="B1048" s="95"/>
      <c r="C1048" s="102"/>
      <c r="D1048" s="95"/>
      <c r="E1048" s="95"/>
      <c r="F1048" s="95"/>
      <c r="G1048" s="95"/>
      <c r="H1048" s="95"/>
      <c r="I1048" s="95"/>
      <c r="J1048" s="95"/>
      <c r="K1048" s="95"/>
      <c r="L1048" s="95"/>
      <c r="M1048" s="95"/>
      <c r="N1048" s="95"/>
      <c r="O1048" s="95"/>
      <c r="P1048" s="95"/>
      <c r="Q1048" s="95"/>
      <c r="R1048" s="95"/>
      <c r="S1048" s="95"/>
      <c r="T1048" s="95"/>
      <c r="U1048" s="95"/>
      <c r="V1048" s="95"/>
      <c r="W1048" s="95"/>
      <c r="X1048" s="95"/>
      <c r="Y1048" s="95"/>
      <c r="Z1048" s="95"/>
      <c r="AA1048" s="95"/>
      <c r="AB1048" s="95"/>
      <c r="AC1048" s="95"/>
    </row>
    <row r="1049" ht="15.75" customHeight="1" spans="1:29">
      <c r="A1049" s="95"/>
      <c r="B1049" s="95"/>
      <c r="C1049" s="102"/>
      <c r="D1049" s="95"/>
      <c r="E1049" s="95"/>
      <c r="F1049" s="95"/>
      <c r="G1049" s="95"/>
      <c r="H1049" s="95"/>
      <c r="I1049" s="95"/>
      <c r="J1049" s="95"/>
      <c r="K1049" s="95"/>
      <c r="L1049" s="95"/>
      <c r="M1049" s="95"/>
      <c r="N1049" s="95"/>
      <c r="O1049" s="95"/>
      <c r="P1049" s="95"/>
      <c r="Q1049" s="95"/>
      <c r="R1049" s="95"/>
      <c r="S1049" s="95"/>
      <c r="T1049" s="95"/>
      <c r="U1049" s="95"/>
      <c r="V1049" s="95"/>
      <c r="W1049" s="95"/>
      <c r="X1049" s="95"/>
      <c r="Y1049" s="95"/>
      <c r="Z1049" s="95"/>
      <c r="AA1049" s="95"/>
      <c r="AB1049" s="95"/>
      <c r="AC1049" s="95"/>
    </row>
    <row r="1050" ht="15.75" customHeight="1" spans="1:29">
      <c r="A1050" s="95"/>
      <c r="B1050" s="95"/>
      <c r="C1050" s="102"/>
      <c r="D1050" s="95"/>
      <c r="E1050" s="95"/>
      <c r="F1050" s="95"/>
      <c r="G1050" s="95"/>
      <c r="H1050" s="95"/>
      <c r="I1050" s="95"/>
      <c r="J1050" s="95"/>
      <c r="K1050" s="95"/>
      <c r="L1050" s="95"/>
      <c r="M1050" s="95"/>
      <c r="N1050" s="95"/>
      <c r="O1050" s="95"/>
      <c r="P1050" s="95"/>
      <c r="Q1050" s="95"/>
      <c r="R1050" s="95"/>
      <c r="S1050" s="95"/>
      <c r="T1050" s="95"/>
      <c r="U1050" s="95"/>
      <c r="V1050" s="95"/>
      <c r="W1050" s="95"/>
      <c r="X1050" s="95"/>
      <c r="Y1050" s="95"/>
      <c r="Z1050" s="95"/>
      <c r="AA1050" s="95"/>
      <c r="AB1050" s="95"/>
      <c r="AC1050" s="95"/>
    </row>
    <row r="1051" ht="15.75" customHeight="1" spans="1:29">
      <c r="A1051" s="95"/>
      <c r="B1051" s="95"/>
      <c r="C1051" s="102"/>
      <c r="D1051" s="95"/>
      <c r="E1051" s="95"/>
      <c r="F1051" s="95"/>
      <c r="G1051" s="95"/>
      <c r="H1051" s="95"/>
      <c r="I1051" s="95"/>
      <c r="J1051" s="95"/>
      <c r="K1051" s="95"/>
      <c r="L1051" s="95"/>
      <c r="M1051" s="95"/>
      <c r="N1051" s="95"/>
      <c r="O1051" s="95"/>
      <c r="P1051" s="95"/>
      <c r="Q1051" s="95"/>
      <c r="R1051" s="95"/>
      <c r="S1051" s="95"/>
      <c r="T1051" s="95"/>
      <c r="U1051" s="95"/>
      <c r="V1051" s="95"/>
      <c r="W1051" s="95"/>
      <c r="X1051" s="95"/>
      <c r="Y1051" s="95"/>
      <c r="Z1051" s="95"/>
      <c r="AA1051" s="95"/>
      <c r="AB1051" s="95"/>
      <c r="AC1051" s="95"/>
    </row>
    <row r="1052" ht="15.75" customHeight="1" spans="1:29">
      <c r="A1052" s="95"/>
      <c r="B1052" s="95"/>
      <c r="C1052" s="102"/>
      <c r="D1052" s="95"/>
      <c r="E1052" s="95"/>
      <c r="F1052" s="95"/>
      <c r="G1052" s="95"/>
      <c r="H1052" s="95"/>
      <c r="I1052" s="95"/>
      <c r="J1052" s="95"/>
      <c r="K1052" s="95"/>
      <c r="L1052" s="95"/>
      <c r="M1052" s="95"/>
      <c r="N1052" s="95"/>
      <c r="O1052" s="95"/>
      <c r="P1052" s="95"/>
      <c r="Q1052" s="95"/>
      <c r="R1052" s="95"/>
      <c r="S1052" s="95"/>
      <c r="T1052" s="95"/>
      <c r="U1052" s="95"/>
      <c r="V1052" s="95"/>
      <c r="W1052" s="95"/>
      <c r="X1052" s="95"/>
      <c r="Y1052" s="95"/>
      <c r="Z1052" s="95"/>
      <c r="AA1052" s="95"/>
      <c r="AB1052" s="95"/>
      <c r="AC1052" s="95"/>
    </row>
    <row r="1053" ht="15.75" customHeight="1" spans="1:29">
      <c r="A1053" s="95"/>
      <c r="B1053" s="95"/>
      <c r="C1053" s="102"/>
      <c r="D1053" s="95"/>
      <c r="E1053" s="95"/>
      <c r="F1053" s="95"/>
      <c r="G1053" s="95"/>
      <c r="H1053" s="95"/>
      <c r="I1053" s="95"/>
      <c r="J1053" s="95"/>
      <c r="K1053" s="95"/>
      <c r="L1053" s="95"/>
      <c r="M1053" s="95"/>
      <c r="N1053" s="95"/>
      <c r="O1053" s="95"/>
      <c r="P1053" s="95"/>
      <c r="Q1053" s="95"/>
      <c r="R1053" s="95"/>
      <c r="S1053" s="95"/>
      <c r="T1053" s="95"/>
      <c r="U1053" s="95"/>
      <c r="V1053" s="95"/>
      <c r="W1053" s="95"/>
      <c r="X1053" s="95"/>
      <c r="Y1053" s="95"/>
      <c r="Z1053" s="95"/>
      <c r="AA1053" s="95"/>
      <c r="AB1053" s="95"/>
      <c r="AC1053" s="95"/>
    </row>
    <row r="1054" ht="15.75" customHeight="1" spans="1:29">
      <c r="A1054" s="95"/>
      <c r="B1054" s="95"/>
      <c r="C1054" s="102"/>
      <c r="D1054" s="95"/>
      <c r="E1054" s="95"/>
      <c r="F1054" s="95"/>
      <c r="G1054" s="95"/>
      <c r="H1054" s="95"/>
      <c r="I1054" s="95"/>
      <c r="J1054" s="95"/>
      <c r="K1054" s="95"/>
      <c r="L1054" s="95"/>
      <c r="M1054" s="95"/>
      <c r="N1054" s="95"/>
      <c r="O1054" s="95"/>
      <c r="P1054" s="95"/>
      <c r="Q1054" s="95"/>
      <c r="R1054" s="95"/>
      <c r="S1054" s="95"/>
      <c r="T1054" s="95"/>
      <c r="U1054" s="95"/>
      <c r="V1054" s="95"/>
      <c r="W1054" s="95"/>
      <c r="X1054" s="95"/>
      <c r="Y1054" s="95"/>
      <c r="Z1054" s="95"/>
      <c r="AA1054" s="95"/>
      <c r="AB1054" s="95"/>
      <c r="AC1054" s="95"/>
    </row>
    <row r="1055" ht="15.75" customHeight="1" spans="1:29">
      <c r="A1055" s="95"/>
      <c r="B1055" s="95"/>
      <c r="C1055" s="102"/>
      <c r="D1055" s="95"/>
      <c r="E1055" s="95"/>
      <c r="F1055" s="95"/>
      <c r="G1055" s="95"/>
      <c r="H1055" s="95"/>
      <c r="I1055" s="95"/>
      <c r="J1055" s="95"/>
      <c r="K1055" s="95"/>
      <c r="L1055" s="95"/>
      <c r="M1055" s="95"/>
      <c r="N1055" s="95"/>
      <c r="O1055" s="95"/>
      <c r="P1055" s="95"/>
      <c r="Q1055" s="95"/>
      <c r="R1055" s="95"/>
      <c r="S1055" s="95"/>
      <c r="T1055" s="95"/>
      <c r="U1055" s="95"/>
      <c r="V1055" s="95"/>
      <c r="W1055" s="95"/>
      <c r="X1055" s="95"/>
      <c r="Y1055" s="95"/>
      <c r="Z1055" s="95"/>
      <c r="AA1055" s="95"/>
      <c r="AB1055" s="95"/>
      <c r="AC1055" s="95"/>
    </row>
    <row r="1056" ht="15.75" customHeight="1" spans="1:29">
      <c r="A1056" s="95"/>
      <c r="B1056" s="95"/>
      <c r="C1056" s="102"/>
      <c r="D1056" s="95"/>
      <c r="E1056" s="95"/>
      <c r="F1056" s="95"/>
      <c r="G1056" s="95"/>
      <c r="H1056" s="95"/>
      <c r="I1056" s="95"/>
      <c r="J1056" s="95"/>
      <c r="K1056" s="95"/>
      <c r="L1056" s="95"/>
      <c r="M1056" s="95"/>
      <c r="N1056" s="95"/>
      <c r="O1056" s="95"/>
      <c r="P1056" s="95"/>
      <c r="Q1056" s="95"/>
      <c r="R1056" s="95"/>
      <c r="S1056" s="95"/>
      <c r="T1056" s="95"/>
      <c r="U1056" s="95"/>
      <c r="V1056" s="95"/>
      <c r="W1056" s="95"/>
      <c r="X1056" s="95"/>
      <c r="Y1056" s="95"/>
      <c r="Z1056" s="95"/>
      <c r="AA1056" s="95"/>
      <c r="AB1056" s="95"/>
      <c r="AC1056" s="95"/>
    </row>
    <row r="1057" ht="15.75" customHeight="1" spans="1:29">
      <c r="A1057" s="95"/>
      <c r="B1057" s="95"/>
      <c r="C1057" s="102"/>
      <c r="D1057" s="95"/>
      <c r="E1057" s="95"/>
      <c r="F1057" s="95"/>
      <c r="G1057" s="95"/>
      <c r="H1057" s="95"/>
      <c r="I1057" s="95"/>
      <c r="J1057" s="95"/>
      <c r="K1057" s="95"/>
      <c r="L1057" s="95"/>
      <c r="M1057" s="95"/>
      <c r="N1057" s="95"/>
      <c r="O1057" s="95"/>
      <c r="P1057" s="95"/>
      <c r="Q1057" s="95"/>
      <c r="R1057" s="95"/>
      <c r="S1057" s="95"/>
      <c r="T1057" s="95"/>
      <c r="U1057" s="95"/>
      <c r="V1057" s="95"/>
      <c r="W1057" s="95"/>
      <c r="X1057" s="95"/>
      <c r="Y1057" s="95"/>
      <c r="Z1057" s="95"/>
      <c r="AA1057" s="95"/>
      <c r="AB1057" s="95"/>
      <c r="AC1057" s="95"/>
    </row>
    <row r="1058" ht="15.75" customHeight="1" spans="1:29">
      <c r="A1058" s="95"/>
      <c r="B1058" s="95"/>
      <c r="C1058" s="102"/>
      <c r="D1058" s="95"/>
      <c r="E1058" s="95"/>
      <c r="F1058" s="95"/>
      <c r="G1058" s="95"/>
      <c r="H1058" s="95"/>
      <c r="I1058" s="95"/>
      <c r="J1058" s="95"/>
      <c r="K1058" s="95"/>
      <c r="L1058" s="95"/>
      <c r="M1058" s="95"/>
      <c r="N1058" s="95"/>
      <c r="O1058" s="95"/>
      <c r="P1058" s="95"/>
      <c r="Q1058" s="95"/>
      <c r="R1058" s="95"/>
      <c r="S1058" s="95"/>
      <c r="T1058" s="95"/>
      <c r="U1058" s="95"/>
      <c r="V1058" s="95"/>
      <c r="W1058" s="95"/>
      <c r="X1058" s="95"/>
      <c r="Y1058" s="95"/>
      <c r="Z1058" s="95"/>
      <c r="AA1058" s="95"/>
      <c r="AB1058" s="95"/>
      <c r="AC1058" s="95"/>
    </row>
    <row r="1059" ht="15.75" customHeight="1" spans="1:29">
      <c r="A1059" s="95"/>
      <c r="B1059" s="95"/>
      <c r="C1059" s="102"/>
      <c r="D1059" s="95"/>
      <c r="E1059" s="95"/>
      <c r="F1059" s="95"/>
      <c r="G1059" s="95"/>
      <c r="H1059" s="95"/>
      <c r="I1059" s="95"/>
      <c r="J1059" s="95"/>
      <c r="K1059" s="95"/>
      <c r="L1059" s="95"/>
      <c r="M1059" s="95"/>
      <c r="N1059" s="95"/>
      <c r="O1059" s="95"/>
      <c r="P1059" s="95"/>
      <c r="Q1059" s="95"/>
      <c r="R1059" s="95"/>
      <c r="S1059" s="95"/>
      <c r="T1059" s="95"/>
      <c r="U1059" s="95"/>
      <c r="V1059" s="95"/>
      <c r="W1059" s="95"/>
      <c r="X1059" s="95"/>
      <c r="Y1059" s="95"/>
      <c r="Z1059" s="95"/>
      <c r="AA1059" s="95"/>
      <c r="AB1059" s="95"/>
      <c r="AC1059" s="95"/>
    </row>
    <row r="1060" ht="15.75" customHeight="1" spans="1:29">
      <c r="A1060" s="95"/>
      <c r="B1060" s="95"/>
      <c r="C1060" s="102"/>
      <c r="D1060" s="95"/>
      <c r="E1060" s="95"/>
      <c r="F1060" s="95"/>
      <c r="G1060" s="95"/>
      <c r="H1060" s="95"/>
      <c r="I1060" s="95"/>
      <c r="J1060" s="95"/>
      <c r="K1060" s="95"/>
      <c r="L1060" s="95"/>
      <c r="M1060" s="95"/>
      <c r="N1060" s="95"/>
      <c r="O1060" s="95"/>
      <c r="P1060" s="95"/>
      <c r="Q1060" s="95"/>
      <c r="R1060" s="95"/>
      <c r="S1060" s="95"/>
      <c r="T1060" s="95"/>
      <c r="U1060" s="95"/>
      <c r="V1060" s="95"/>
      <c r="W1060" s="95"/>
      <c r="X1060" s="95"/>
      <c r="Y1060" s="95"/>
      <c r="Z1060" s="95"/>
      <c r="AA1060" s="95"/>
      <c r="AB1060" s="95"/>
      <c r="AC1060" s="95"/>
    </row>
    <row r="1061" ht="15.75" customHeight="1" spans="1:29">
      <c r="A1061" s="95"/>
      <c r="B1061" s="95"/>
      <c r="C1061" s="102"/>
      <c r="D1061" s="95"/>
      <c r="E1061" s="95"/>
      <c r="F1061" s="95"/>
      <c r="G1061" s="95"/>
      <c r="H1061" s="95"/>
      <c r="I1061" s="95"/>
      <c r="J1061" s="95"/>
      <c r="K1061" s="95"/>
      <c r="L1061" s="95"/>
      <c r="M1061" s="95"/>
      <c r="N1061" s="95"/>
      <c r="O1061" s="95"/>
      <c r="P1061" s="95"/>
      <c r="Q1061" s="95"/>
      <c r="R1061" s="95"/>
      <c r="S1061" s="95"/>
      <c r="T1061" s="95"/>
      <c r="U1061" s="95"/>
      <c r="V1061" s="95"/>
      <c r="W1061" s="95"/>
      <c r="X1061" s="95"/>
      <c r="Y1061" s="95"/>
      <c r="Z1061" s="95"/>
      <c r="AA1061" s="95"/>
      <c r="AB1061" s="95"/>
      <c r="AC1061" s="95"/>
    </row>
    <row r="1062" ht="15.75" customHeight="1" spans="1:29">
      <c r="A1062" s="95"/>
      <c r="B1062" s="95"/>
      <c r="C1062" s="102"/>
      <c r="D1062" s="95"/>
      <c r="E1062" s="95"/>
      <c r="F1062" s="95"/>
      <c r="G1062" s="95"/>
      <c r="H1062" s="95"/>
      <c r="I1062" s="95"/>
      <c r="J1062" s="95"/>
      <c r="K1062" s="95"/>
      <c r="L1062" s="95"/>
      <c r="M1062" s="95"/>
      <c r="N1062" s="95"/>
      <c r="O1062" s="95"/>
      <c r="P1062" s="95"/>
      <c r="Q1062" s="95"/>
      <c r="R1062" s="95"/>
      <c r="S1062" s="95"/>
      <c r="T1062" s="95"/>
      <c r="U1062" s="95"/>
      <c r="V1062" s="95"/>
      <c r="W1062" s="95"/>
      <c r="X1062" s="95"/>
      <c r="Y1062" s="95"/>
      <c r="Z1062" s="95"/>
      <c r="AA1062" s="95"/>
      <c r="AB1062" s="95"/>
      <c r="AC1062" s="95"/>
    </row>
    <row r="1063" ht="15.75" customHeight="1" spans="1:29">
      <c r="A1063" s="95"/>
      <c r="B1063" s="95"/>
      <c r="C1063" s="102"/>
      <c r="D1063" s="95"/>
      <c r="E1063" s="95"/>
      <c r="F1063" s="95"/>
      <c r="G1063" s="95"/>
      <c r="H1063" s="95"/>
      <c r="I1063" s="95"/>
      <c r="J1063" s="95"/>
      <c r="K1063" s="95"/>
      <c r="L1063" s="95"/>
      <c r="M1063" s="95"/>
      <c r="N1063" s="95"/>
      <c r="O1063" s="95"/>
      <c r="P1063" s="95"/>
      <c r="Q1063" s="95"/>
      <c r="R1063" s="95"/>
      <c r="S1063" s="95"/>
      <c r="T1063" s="95"/>
      <c r="U1063" s="95"/>
      <c r="V1063" s="95"/>
      <c r="W1063" s="95"/>
      <c r="X1063" s="95"/>
      <c r="Y1063" s="95"/>
      <c r="Z1063" s="95"/>
      <c r="AA1063" s="95"/>
      <c r="AB1063" s="95"/>
      <c r="AC1063" s="95"/>
    </row>
    <row r="1064" ht="15.75" customHeight="1" spans="1:29">
      <c r="A1064" s="95"/>
      <c r="B1064" s="95"/>
      <c r="C1064" s="102"/>
      <c r="D1064" s="95"/>
      <c r="E1064" s="95"/>
      <c r="F1064" s="95"/>
      <c r="G1064" s="95"/>
      <c r="H1064" s="95"/>
      <c r="I1064" s="95"/>
      <c r="J1064" s="95"/>
      <c r="K1064" s="95"/>
      <c r="L1064" s="95"/>
      <c r="M1064" s="95"/>
      <c r="N1064" s="95"/>
      <c r="O1064" s="95"/>
      <c r="P1064" s="95"/>
      <c r="Q1064" s="95"/>
      <c r="R1064" s="95"/>
      <c r="S1064" s="95"/>
      <c r="T1064" s="95"/>
      <c r="U1064" s="95"/>
      <c r="V1064" s="95"/>
      <c r="W1064" s="95"/>
      <c r="X1064" s="95"/>
      <c r="Y1064" s="95"/>
      <c r="Z1064" s="95"/>
      <c r="AA1064" s="95"/>
      <c r="AB1064" s="95"/>
      <c r="AC1064" s="95"/>
    </row>
    <row r="1065" ht="15.75" customHeight="1" spans="1:29">
      <c r="A1065" s="95"/>
      <c r="B1065" s="95"/>
      <c r="C1065" s="102"/>
      <c r="D1065" s="95"/>
      <c r="E1065" s="95"/>
      <c r="F1065" s="95"/>
      <c r="G1065" s="95"/>
      <c r="H1065" s="95"/>
      <c r="I1065" s="95"/>
      <c r="J1065" s="95"/>
      <c r="K1065" s="95"/>
      <c r="L1065" s="95"/>
      <c r="M1065" s="95"/>
      <c r="N1065" s="95"/>
      <c r="O1065" s="95"/>
      <c r="P1065" s="95"/>
      <c r="Q1065" s="95"/>
      <c r="R1065" s="95"/>
      <c r="S1065" s="95"/>
      <c r="T1065" s="95"/>
      <c r="U1065" s="95"/>
      <c r="V1065" s="95"/>
      <c r="W1065" s="95"/>
      <c r="X1065" s="95"/>
      <c r="Y1065" s="95"/>
      <c r="Z1065" s="95"/>
      <c r="AA1065" s="95"/>
      <c r="AB1065" s="95"/>
      <c r="AC1065" s="95"/>
    </row>
    <row r="1066" ht="15.75" customHeight="1" spans="1:29">
      <c r="A1066" s="95"/>
      <c r="B1066" s="95"/>
      <c r="C1066" s="102"/>
      <c r="D1066" s="95"/>
      <c r="E1066" s="95"/>
      <c r="F1066" s="95"/>
      <c r="G1066" s="95"/>
      <c r="H1066" s="95"/>
      <c r="I1066" s="95"/>
      <c r="J1066" s="95"/>
      <c r="K1066" s="95"/>
      <c r="L1066" s="95"/>
      <c r="M1066" s="95"/>
      <c r="N1066" s="95"/>
      <c r="O1066" s="95"/>
      <c r="P1066" s="95"/>
      <c r="Q1066" s="95"/>
      <c r="R1066" s="95"/>
      <c r="S1066" s="95"/>
      <c r="T1066" s="95"/>
      <c r="U1066" s="95"/>
      <c r="V1066" s="95"/>
      <c r="W1066" s="95"/>
      <c r="X1066" s="95"/>
      <c r="Y1066" s="95"/>
      <c r="Z1066" s="95"/>
      <c r="AA1066" s="95"/>
      <c r="AB1066" s="95"/>
      <c r="AC1066" s="95"/>
    </row>
    <row r="1067" ht="15.75" customHeight="1" spans="1:29">
      <c r="A1067" s="95"/>
      <c r="B1067" s="95"/>
      <c r="C1067" s="102"/>
      <c r="D1067" s="95"/>
      <c r="E1067" s="95"/>
      <c r="F1067" s="95"/>
      <c r="G1067" s="95"/>
      <c r="H1067" s="95"/>
      <c r="I1067" s="95"/>
      <c r="J1067" s="95"/>
      <c r="K1067" s="95"/>
      <c r="L1067" s="95"/>
      <c r="M1067" s="95"/>
      <c r="N1067" s="95"/>
      <c r="O1067" s="95"/>
      <c r="P1067" s="95"/>
      <c r="Q1067" s="95"/>
      <c r="R1067" s="95"/>
      <c r="S1067" s="95"/>
      <c r="T1067" s="95"/>
      <c r="U1067" s="95"/>
      <c r="V1067" s="95"/>
      <c r="W1067" s="95"/>
      <c r="X1067" s="95"/>
      <c r="Y1067" s="95"/>
      <c r="Z1067" s="95"/>
      <c r="AA1067" s="95"/>
      <c r="AB1067" s="95"/>
      <c r="AC1067" s="95"/>
    </row>
    <row r="1068" ht="15.75" customHeight="1" spans="1:29">
      <c r="A1068" s="95"/>
      <c r="B1068" s="95"/>
      <c r="C1068" s="102"/>
      <c r="D1068" s="95"/>
      <c r="E1068" s="95"/>
      <c r="F1068" s="95"/>
      <c r="G1068" s="95"/>
      <c r="H1068" s="95"/>
      <c r="I1068" s="95"/>
      <c r="J1068" s="95"/>
      <c r="K1068" s="95"/>
      <c r="L1068" s="95"/>
      <c r="M1068" s="95"/>
      <c r="N1068" s="95"/>
      <c r="O1068" s="95"/>
      <c r="P1068" s="95"/>
      <c r="Q1068" s="95"/>
      <c r="R1068" s="95"/>
      <c r="S1068" s="95"/>
      <c r="T1068" s="95"/>
      <c r="U1068" s="95"/>
      <c r="V1068" s="95"/>
      <c r="W1068" s="95"/>
      <c r="X1068" s="95"/>
      <c r="Y1068" s="95"/>
      <c r="Z1068" s="95"/>
      <c r="AA1068" s="95"/>
      <c r="AB1068" s="95"/>
      <c r="AC1068" s="95"/>
    </row>
    <row r="1069" ht="15.75" customHeight="1" spans="1:29">
      <c r="A1069" s="95"/>
      <c r="B1069" s="95"/>
      <c r="C1069" s="102"/>
      <c r="D1069" s="95"/>
      <c r="E1069" s="95"/>
      <c r="F1069" s="95"/>
      <c r="G1069" s="95"/>
      <c r="H1069" s="95"/>
      <c r="I1069" s="95"/>
      <c r="J1069" s="95"/>
      <c r="K1069" s="95"/>
      <c r="L1069" s="95"/>
      <c r="M1069" s="95"/>
      <c r="N1069" s="95"/>
      <c r="O1069" s="95"/>
      <c r="P1069" s="95"/>
      <c r="Q1069" s="95"/>
      <c r="R1069" s="95"/>
      <c r="S1069" s="95"/>
      <c r="T1069" s="95"/>
      <c r="U1069" s="95"/>
      <c r="V1069" s="95"/>
      <c r="W1069" s="95"/>
      <c r="X1069" s="95"/>
      <c r="Y1069" s="95"/>
      <c r="Z1069" s="95"/>
      <c r="AA1069" s="95"/>
      <c r="AB1069" s="95"/>
      <c r="AC1069" s="95"/>
    </row>
    <row r="1070" ht="15.75" customHeight="1" spans="1:29">
      <c r="A1070" s="95"/>
      <c r="B1070" s="95"/>
      <c r="C1070" s="102"/>
      <c r="D1070" s="95"/>
      <c r="E1070" s="95"/>
      <c r="F1070" s="95"/>
      <c r="G1070" s="95"/>
      <c r="H1070" s="95"/>
      <c r="I1070" s="95"/>
      <c r="J1070" s="95"/>
      <c r="K1070" s="95"/>
      <c r="L1070" s="95"/>
      <c r="M1070" s="95"/>
      <c r="N1070" s="95"/>
      <c r="O1070" s="95"/>
      <c r="P1070" s="95"/>
      <c r="Q1070" s="95"/>
      <c r="R1070" s="95"/>
      <c r="S1070" s="95"/>
      <c r="T1070" s="95"/>
      <c r="U1070" s="95"/>
      <c r="V1070" s="95"/>
      <c r="W1070" s="95"/>
      <c r="X1070" s="95"/>
      <c r="Y1070" s="95"/>
      <c r="Z1070" s="95"/>
      <c r="AA1070" s="95"/>
      <c r="AB1070" s="95"/>
      <c r="AC1070" s="95"/>
    </row>
    <row r="1071" ht="15.75" customHeight="1" spans="1:29">
      <c r="A1071" s="95"/>
      <c r="B1071" s="95"/>
      <c r="C1071" s="102"/>
      <c r="D1071" s="95"/>
      <c r="E1071" s="95"/>
      <c r="F1071" s="95"/>
      <c r="G1071" s="95"/>
      <c r="H1071" s="95"/>
      <c r="I1071" s="95"/>
      <c r="J1071" s="95"/>
      <c r="K1071" s="95"/>
      <c r="L1071" s="95"/>
      <c r="M1071" s="95"/>
      <c r="N1071" s="95"/>
      <c r="O1071" s="95"/>
      <c r="P1071" s="95"/>
      <c r="Q1071" s="95"/>
      <c r="R1071" s="95"/>
      <c r="S1071" s="95"/>
      <c r="T1071" s="95"/>
      <c r="U1071" s="95"/>
      <c r="V1071" s="95"/>
      <c r="W1071" s="95"/>
      <c r="X1071" s="95"/>
      <c r="Y1071" s="95"/>
      <c r="Z1071" s="95"/>
      <c r="AA1071" s="95"/>
      <c r="AB1071" s="95"/>
      <c r="AC1071" s="95"/>
    </row>
    <row r="1072" ht="15.75" customHeight="1" spans="1:29">
      <c r="A1072" s="95"/>
      <c r="B1072" s="95"/>
      <c r="C1072" s="102"/>
      <c r="D1072" s="95"/>
      <c r="E1072" s="95"/>
      <c r="F1072" s="95"/>
      <c r="G1072" s="95"/>
      <c r="H1072" s="95"/>
      <c r="I1072" s="95"/>
      <c r="J1072" s="95"/>
      <c r="K1072" s="95"/>
      <c r="L1072" s="95"/>
      <c r="M1072" s="95"/>
      <c r="N1072" s="95"/>
      <c r="O1072" s="95"/>
      <c r="P1072" s="95"/>
      <c r="Q1072" s="95"/>
      <c r="R1072" s="95"/>
      <c r="S1072" s="95"/>
      <c r="T1072" s="95"/>
      <c r="U1072" s="95"/>
      <c r="V1072" s="95"/>
      <c r="W1072" s="95"/>
      <c r="X1072" s="95"/>
      <c r="Y1072" s="95"/>
      <c r="Z1072" s="95"/>
      <c r="AA1072" s="95"/>
      <c r="AB1072" s="95"/>
      <c r="AC1072" s="95"/>
    </row>
    <row r="1073" ht="15.75" customHeight="1" spans="1:29">
      <c r="A1073" s="95"/>
      <c r="B1073" s="95"/>
      <c r="C1073" s="102"/>
      <c r="D1073" s="95"/>
      <c r="E1073" s="95"/>
      <c r="F1073" s="95"/>
      <c r="G1073" s="95"/>
      <c r="H1073" s="95"/>
      <c r="I1073" s="95"/>
      <c r="J1073" s="95"/>
      <c r="K1073" s="95"/>
      <c r="L1073" s="95"/>
      <c r="M1073" s="95"/>
      <c r="N1073" s="95"/>
      <c r="O1073" s="95"/>
      <c r="P1073" s="95"/>
      <c r="Q1073" s="95"/>
      <c r="R1073" s="95"/>
      <c r="S1073" s="95"/>
      <c r="T1073" s="95"/>
      <c r="U1073" s="95"/>
      <c r="V1073" s="95"/>
      <c r="W1073" s="95"/>
      <c r="X1073" s="95"/>
      <c r="Y1073" s="95"/>
      <c r="Z1073" s="95"/>
      <c r="AA1073" s="95"/>
      <c r="AB1073" s="95"/>
      <c r="AC1073" s="95"/>
    </row>
    <row r="1074" ht="15.75" customHeight="1" spans="1:29">
      <c r="A1074" s="95"/>
      <c r="B1074" s="95"/>
      <c r="C1074" s="102"/>
      <c r="D1074" s="95"/>
      <c r="E1074" s="95"/>
      <c r="F1074" s="95"/>
      <c r="G1074" s="95"/>
      <c r="H1074" s="95"/>
      <c r="I1074" s="95"/>
      <c r="J1074" s="95"/>
      <c r="K1074" s="95"/>
      <c r="L1074" s="95"/>
      <c r="M1074" s="95"/>
      <c r="N1074" s="95"/>
      <c r="O1074" s="95"/>
      <c r="P1074" s="95"/>
      <c r="Q1074" s="95"/>
      <c r="R1074" s="95"/>
      <c r="S1074" s="95"/>
      <c r="T1074" s="95"/>
      <c r="U1074" s="95"/>
      <c r="V1074" s="95"/>
      <c r="W1074" s="95"/>
      <c r="X1074" s="95"/>
      <c r="Y1074" s="95"/>
      <c r="Z1074" s="95"/>
      <c r="AA1074" s="95"/>
      <c r="AB1074" s="95"/>
      <c r="AC1074" s="95"/>
    </row>
    <row r="1075" ht="15.75" customHeight="1" spans="1:29">
      <c r="A1075" s="95"/>
      <c r="B1075" s="95"/>
      <c r="C1075" s="102"/>
      <c r="D1075" s="95"/>
      <c r="E1075" s="95"/>
      <c r="F1075" s="95"/>
      <c r="G1075" s="95"/>
      <c r="H1075" s="95"/>
      <c r="I1075" s="95"/>
      <c r="J1075" s="95"/>
      <c r="K1075" s="95"/>
      <c r="L1075" s="95"/>
      <c r="M1075" s="95"/>
      <c r="N1075" s="95"/>
      <c r="O1075" s="95"/>
      <c r="P1075" s="95"/>
      <c r="Q1075" s="95"/>
      <c r="R1075" s="95"/>
      <c r="S1075" s="95"/>
      <c r="T1075" s="95"/>
      <c r="U1075" s="95"/>
      <c r="V1075" s="95"/>
      <c r="W1075" s="95"/>
      <c r="X1075" s="95"/>
      <c r="Y1075" s="95"/>
      <c r="Z1075" s="95"/>
      <c r="AA1075" s="95"/>
      <c r="AB1075" s="95"/>
      <c r="AC1075" s="95"/>
    </row>
    <row r="1076" ht="15.75" customHeight="1" spans="1:29">
      <c r="A1076" s="95"/>
      <c r="B1076" s="95"/>
      <c r="C1076" s="102"/>
      <c r="D1076" s="95"/>
      <c r="E1076" s="95"/>
      <c r="F1076" s="95"/>
      <c r="G1076" s="95"/>
      <c r="H1076" s="95"/>
      <c r="I1076" s="95"/>
      <c r="J1076" s="95"/>
      <c r="K1076" s="95"/>
      <c r="L1076" s="95"/>
      <c r="M1076" s="95"/>
      <c r="N1076" s="95"/>
      <c r="O1076" s="95"/>
      <c r="P1076" s="95"/>
      <c r="Q1076" s="95"/>
      <c r="R1076" s="95"/>
      <c r="S1076" s="95"/>
      <c r="T1076" s="95"/>
      <c r="U1076" s="95"/>
      <c r="V1076" s="95"/>
      <c r="W1076" s="95"/>
      <c r="X1076" s="95"/>
      <c r="Y1076" s="95"/>
      <c r="Z1076" s="95"/>
      <c r="AA1076" s="95"/>
      <c r="AB1076" s="95"/>
      <c r="AC1076" s="95"/>
    </row>
    <row r="1077" ht="15.75" customHeight="1" spans="1:29">
      <c r="A1077" s="95"/>
      <c r="B1077" s="95"/>
      <c r="C1077" s="102"/>
      <c r="D1077" s="95"/>
      <c r="E1077" s="95"/>
      <c r="F1077" s="95"/>
      <c r="G1077" s="95"/>
      <c r="H1077" s="95"/>
      <c r="I1077" s="95"/>
      <c r="J1077" s="95"/>
      <c r="K1077" s="95"/>
      <c r="L1077" s="95"/>
      <c r="M1077" s="95"/>
      <c r="N1077" s="95"/>
      <c r="O1077" s="95"/>
      <c r="P1077" s="95"/>
      <c r="Q1077" s="95"/>
      <c r="R1077" s="95"/>
      <c r="S1077" s="95"/>
      <c r="T1077" s="95"/>
      <c r="U1077" s="95"/>
      <c r="V1077" s="95"/>
      <c r="W1077" s="95"/>
      <c r="X1077" s="95"/>
      <c r="Y1077" s="95"/>
      <c r="Z1077" s="95"/>
      <c r="AA1077" s="95"/>
      <c r="AB1077" s="95"/>
      <c r="AC1077" s="95"/>
    </row>
    <row r="1078" ht="15.75" customHeight="1" spans="1:29">
      <c r="A1078" s="95"/>
      <c r="B1078" s="95"/>
      <c r="C1078" s="102"/>
      <c r="D1078" s="95"/>
      <c r="E1078" s="95"/>
      <c r="F1078" s="95"/>
      <c r="G1078" s="95"/>
      <c r="H1078" s="95"/>
      <c r="I1078" s="95"/>
      <c r="J1078" s="95"/>
      <c r="K1078" s="95"/>
      <c r="L1078" s="95"/>
      <c r="M1078" s="95"/>
      <c r="N1078" s="95"/>
      <c r="O1078" s="95"/>
      <c r="P1078" s="95"/>
      <c r="Q1078" s="95"/>
      <c r="R1078" s="95"/>
      <c r="S1078" s="95"/>
      <c r="T1078" s="95"/>
      <c r="U1078" s="95"/>
      <c r="V1078" s="95"/>
      <c r="W1078" s="95"/>
      <c r="X1078" s="95"/>
      <c r="Y1078" s="95"/>
      <c r="Z1078" s="95"/>
      <c r="AA1078" s="95"/>
      <c r="AB1078" s="95"/>
      <c r="AC1078" s="95"/>
    </row>
    <row r="1079" ht="15.75" customHeight="1" spans="1:29">
      <c r="A1079" s="95"/>
      <c r="B1079" s="95"/>
      <c r="C1079" s="102"/>
      <c r="D1079" s="95"/>
      <c r="E1079" s="95"/>
      <c r="F1079" s="95"/>
      <c r="G1079" s="95"/>
      <c r="H1079" s="95"/>
      <c r="I1079" s="95"/>
      <c r="J1079" s="95"/>
      <c r="K1079" s="95"/>
      <c r="L1079" s="95"/>
      <c r="M1079" s="95"/>
      <c r="N1079" s="95"/>
      <c r="O1079" s="95"/>
      <c r="P1079" s="95"/>
      <c r="Q1079" s="95"/>
      <c r="R1079" s="95"/>
      <c r="S1079" s="95"/>
      <c r="T1079" s="95"/>
      <c r="U1079" s="95"/>
      <c r="V1079" s="95"/>
      <c r="W1079" s="95"/>
      <c r="X1079" s="95"/>
      <c r="Y1079" s="95"/>
      <c r="Z1079" s="95"/>
      <c r="AA1079" s="95"/>
      <c r="AB1079" s="95"/>
      <c r="AC1079" s="95"/>
    </row>
    <row r="1080" ht="15.75" customHeight="1" spans="1:29">
      <c r="A1080" s="95"/>
      <c r="B1080" s="95"/>
      <c r="C1080" s="102"/>
      <c r="D1080" s="95"/>
      <c r="E1080" s="95"/>
      <c r="F1080" s="95"/>
      <c r="G1080" s="95"/>
      <c r="H1080" s="95"/>
      <c r="I1080" s="95"/>
      <c r="J1080" s="95"/>
      <c r="K1080" s="95"/>
      <c r="L1080" s="95"/>
      <c r="M1080" s="95"/>
      <c r="N1080" s="95"/>
      <c r="O1080" s="95"/>
      <c r="P1080" s="95"/>
      <c r="Q1080" s="95"/>
      <c r="R1080" s="95"/>
      <c r="S1080" s="95"/>
      <c r="T1080" s="95"/>
      <c r="U1080" s="95"/>
      <c r="V1080" s="95"/>
      <c r="W1080" s="95"/>
      <c r="X1080" s="95"/>
      <c r="Y1080" s="95"/>
      <c r="Z1080" s="95"/>
      <c r="AA1080" s="95"/>
      <c r="AB1080" s="95"/>
      <c r="AC1080" s="95"/>
    </row>
    <row r="1081" ht="15.75" customHeight="1" spans="1:29">
      <c r="A1081" s="95"/>
      <c r="B1081" s="95"/>
      <c r="C1081" s="102"/>
      <c r="D1081" s="95"/>
      <c r="E1081" s="95"/>
      <c r="F1081" s="95"/>
      <c r="G1081" s="95"/>
      <c r="H1081" s="95"/>
      <c r="I1081" s="95"/>
      <c r="J1081" s="95"/>
      <c r="K1081" s="95"/>
      <c r="L1081" s="95"/>
      <c r="M1081" s="95"/>
      <c r="N1081" s="95"/>
      <c r="O1081" s="95"/>
      <c r="P1081" s="95"/>
      <c r="Q1081" s="95"/>
      <c r="R1081" s="95"/>
      <c r="S1081" s="95"/>
      <c r="T1081" s="95"/>
      <c r="U1081" s="95"/>
      <c r="V1081" s="95"/>
      <c r="W1081" s="95"/>
      <c r="X1081" s="95"/>
      <c r="Y1081" s="95"/>
      <c r="Z1081" s="95"/>
      <c r="AA1081" s="95"/>
      <c r="AB1081" s="95"/>
      <c r="AC1081" s="95"/>
    </row>
    <row r="1082" ht="15.75" customHeight="1" spans="1:29">
      <c r="A1082" s="95"/>
      <c r="B1082" s="95"/>
      <c r="C1082" s="102"/>
      <c r="D1082" s="95"/>
      <c r="E1082" s="95"/>
      <c r="F1082" s="95"/>
      <c r="G1082" s="95"/>
      <c r="H1082" s="95"/>
      <c r="I1082" s="95"/>
      <c r="J1082" s="95"/>
      <c r="K1082" s="95"/>
      <c r="L1082" s="95"/>
      <c r="M1082" s="95"/>
      <c r="N1082" s="95"/>
      <c r="O1082" s="95"/>
      <c r="P1082" s="95"/>
      <c r="Q1082" s="95"/>
      <c r="R1082" s="95"/>
      <c r="S1082" s="95"/>
      <c r="T1082" s="95"/>
      <c r="U1082" s="95"/>
      <c r="V1082" s="95"/>
      <c r="W1082" s="95"/>
      <c r="X1082" s="95"/>
      <c r="Y1082" s="95"/>
      <c r="Z1082" s="95"/>
      <c r="AA1082" s="95"/>
      <c r="AB1082" s="95"/>
      <c r="AC1082" s="95"/>
    </row>
    <row r="1083" ht="15.75" customHeight="1" spans="1:29">
      <c r="A1083" s="95"/>
      <c r="B1083" s="95"/>
      <c r="C1083" s="102"/>
      <c r="D1083" s="95"/>
      <c r="E1083" s="95"/>
      <c r="F1083" s="95"/>
      <c r="G1083" s="95"/>
      <c r="H1083" s="95"/>
      <c r="I1083" s="95"/>
      <c r="J1083" s="95"/>
      <c r="K1083" s="95"/>
      <c r="L1083" s="95"/>
      <c r="M1083" s="95"/>
      <c r="N1083" s="95"/>
      <c r="O1083" s="95"/>
      <c r="P1083" s="95"/>
      <c r="Q1083" s="95"/>
      <c r="R1083" s="95"/>
      <c r="S1083" s="95"/>
      <c r="T1083" s="95"/>
      <c r="U1083" s="95"/>
      <c r="V1083" s="95"/>
      <c r="W1083" s="95"/>
      <c r="X1083" s="95"/>
      <c r="Y1083" s="95"/>
      <c r="Z1083" s="95"/>
      <c r="AA1083" s="95"/>
      <c r="AB1083" s="95"/>
      <c r="AC1083" s="95"/>
    </row>
    <row r="1084" ht="15.75" customHeight="1" spans="1:29">
      <c r="A1084" s="95"/>
      <c r="B1084" s="95"/>
      <c r="C1084" s="102"/>
      <c r="D1084" s="95"/>
      <c r="E1084" s="95"/>
      <c r="F1084" s="95"/>
      <c r="G1084" s="95"/>
      <c r="H1084" s="95"/>
      <c r="I1084" s="95"/>
      <c r="J1084" s="95"/>
      <c r="K1084" s="95"/>
      <c r="L1084" s="95"/>
      <c r="M1084" s="95"/>
      <c r="N1084" s="95"/>
      <c r="O1084" s="95"/>
      <c r="P1084" s="95"/>
      <c r="Q1084" s="95"/>
      <c r="R1084" s="95"/>
      <c r="S1084" s="95"/>
      <c r="T1084" s="95"/>
      <c r="U1084" s="95"/>
      <c r="V1084" s="95"/>
      <c r="W1084" s="95"/>
      <c r="X1084" s="95"/>
      <c r="Y1084" s="95"/>
      <c r="Z1084" s="95"/>
      <c r="AA1084" s="95"/>
      <c r="AB1084" s="95"/>
      <c r="AC1084" s="95"/>
    </row>
    <row r="1085" ht="15.75" customHeight="1" spans="1:29">
      <c r="A1085" s="95"/>
      <c r="B1085" s="95"/>
      <c r="C1085" s="102"/>
      <c r="D1085" s="95"/>
      <c r="E1085" s="95"/>
      <c r="F1085" s="95"/>
      <c r="G1085" s="95"/>
      <c r="H1085" s="95"/>
      <c r="I1085" s="95"/>
      <c r="J1085" s="95"/>
      <c r="K1085" s="95"/>
      <c r="L1085" s="95"/>
      <c r="M1085" s="95"/>
      <c r="N1085" s="95"/>
      <c r="O1085" s="95"/>
      <c r="P1085" s="95"/>
      <c r="Q1085" s="95"/>
      <c r="R1085" s="95"/>
      <c r="S1085" s="95"/>
      <c r="T1085" s="95"/>
      <c r="U1085" s="95"/>
      <c r="V1085" s="95"/>
      <c r="W1085" s="95"/>
      <c r="X1085" s="95"/>
      <c r="Y1085" s="95"/>
      <c r="Z1085" s="95"/>
      <c r="AA1085" s="95"/>
      <c r="AB1085" s="95"/>
      <c r="AC1085" s="95"/>
    </row>
    <row r="1086" ht="15.75" customHeight="1" spans="1:29">
      <c r="A1086" s="95"/>
      <c r="B1086" s="95"/>
      <c r="C1086" s="102"/>
      <c r="D1086" s="95"/>
      <c r="E1086" s="95"/>
      <c r="F1086" s="95"/>
      <c r="G1086" s="95"/>
      <c r="H1086" s="95"/>
      <c r="I1086" s="95"/>
      <c r="J1086" s="95"/>
      <c r="K1086" s="95"/>
      <c r="L1086" s="95"/>
      <c r="M1086" s="95"/>
      <c r="N1086" s="95"/>
      <c r="O1086" s="95"/>
      <c r="P1086" s="95"/>
      <c r="Q1086" s="95"/>
      <c r="R1086" s="95"/>
      <c r="S1086" s="95"/>
      <c r="T1086" s="95"/>
      <c r="U1086" s="95"/>
      <c r="V1086" s="95"/>
      <c r="W1086" s="95"/>
      <c r="X1086" s="95"/>
      <c r="Y1086" s="95"/>
      <c r="Z1086" s="95"/>
      <c r="AA1086" s="95"/>
      <c r="AB1086" s="95"/>
      <c r="AC1086" s="95"/>
    </row>
    <row r="1087" ht="15.75" customHeight="1" spans="1:29">
      <c r="A1087" s="95"/>
      <c r="B1087" s="95"/>
      <c r="C1087" s="102"/>
      <c r="D1087" s="95"/>
      <c r="E1087" s="95"/>
      <c r="F1087" s="95"/>
      <c r="G1087" s="95"/>
      <c r="H1087" s="95"/>
      <c r="I1087" s="95"/>
      <c r="J1087" s="95"/>
      <c r="K1087" s="95"/>
      <c r="L1087" s="95"/>
      <c r="M1087" s="95"/>
      <c r="N1087" s="95"/>
      <c r="O1087" s="95"/>
      <c r="P1087" s="95"/>
      <c r="Q1087" s="95"/>
      <c r="R1087" s="95"/>
      <c r="S1087" s="95"/>
      <c r="T1087" s="95"/>
      <c r="U1087" s="95"/>
      <c r="V1087" s="95"/>
      <c r="W1087" s="95"/>
      <c r="X1087" s="95"/>
      <c r="Y1087" s="95"/>
      <c r="Z1087" s="95"/>
      <c r="AA1087" s="95"/>
      <c r="AB1087" s="95"/>
      <c r="AC1087" s="95"/>
    </row>
    <row r="1088" ht="15.75" customHeight="1" spans="1:29">
      <c r="A1088" s="95"/>
      <c r="B1088" s="95"/>
      <c r="C1088" s="102"/>
      <c r="D1088" s="95"/>
      <c r="E1088" s="95"/>
      <c r="F1088" s="95"/>
      <c r="G1088" s="95"/>
      <c r="H1088" s="95"/>
      <c r="I1088" s="95"/>
      <c r="J1088" s="95"/>
      <c r="K1088" s="95"/>
      <c r="L1088" s="95"/>
      <c r="M1088" s="95"/>
      <c r="N1088" s="95"/>
      <c r="O1088" s="95"/>
      <c r="P1088" s="95"/>
      <c r="Q1088" s="95"/>
      <c r="R1088" s="95"/>
      <c r="S1088" s="95"/>
      <c r="T1088" s="95"/>
      <c r="U1088" s="95"/>
      <c r="V1088" s="95"/>
      <c r="W1088" s="95"/>
      <c r="X1088" s="95"/>
      <c r="Y1088" s="95"/>
      <c r="Z1088" s="95"/>
      <c r="AA1088" s="95"/>
      <c r="AB1088" s="95"/>
      <c r="AC1088" s="95"/>
    </row>
    <row r="1089" ht="15.75" customHeight="1" spans="1:29">
      <c r="A1089" s="95"/>
      <c r="B1089" s="95"/>
      <c r="C1089" s="102"/>
      <c r="D1089" s="95"/>
      <c r="E1089" s="95"/>
      <c r="F1089" s="95"/>
      <c r="G1089" s="95"/>
      <c r="H1089" s="95"/>
      <c r="I1089" s="95"/>
      <c r="J1089" s="95"/>
      <c r="K1089" s="95"/>
      <c r="L1089" s="95"/>
      <c r="M1089" s="95"/>
      <c r="N1089" s="95"/>
      <c r="O1089" s="95"/>
      <c r="P1089" s="95"/>
      <c r="Q1089" s="95"/>
      <c r="R1089" s="95"/>
      <c r="S1089" s="95"/>
      <c r="T1089" s="95"/>
      <c r="U1089" s="95"/>
      <c r="V1089" s="95"/>
      <c r="W1089" s="95"/>
      <c r="X1089" s="95"/>
      <c r="Y1089" s="95"/>
      <c r="Z1089" s="95"/>
      <c r="AA1089" s="95"/>
      <c r="AB1089" s="95"/>
      <c r="AC1089" s="95"/>
    </row>
    <row r="1090" ht="15.75" customHeight="1" spans="1:29">
      <c r="A1090" s="95"/>
      <c r="B1090" s="95"/>
      <c r="C1090" s="102"/>
      <c r="D1090" s="95"/>
      <c r="E1090" s="95"/>
      <c r="F1090" s="95"/>
      <c r="G1090" s="95"/>
      <c r="H1090" s="95"/>
      <c r="I1090" s="95"/>
      <c r="J1090" s="95"/>
      <c r="K1090" s="95"/>
      <c r="L1090" s="95"/>
      <c r="M1090" s="95"/>
      <c r="N1090" s="95"/>
      <c r="O1090" s="95"/>
      <c r="P1090" s="95"/>
      <c r="Q1090" s="95"/>
      <c r="R1090" s="95"/>
      <c r="S1090" s="95"/>
      <c r="T1090" s="95"/>
      <c r="U1090" s="95"/>
      <c r="V1090" s="95"/>
      <c r="W1090" s="95"/>
      <c r="X1090" s="95"/>
      <c r="Y1090" s="95"/>
      <c r="Z1090" s="95"/>
      <c r="AA1090" s="95"/>
      <c r="AB1090" s="95"/>
      <c r="AC1090" s="95"/>
    </row>
    <row r="1091" ht="15.75" customHeight="1" spans="1:29">
      <c r="A1091" s="95"/>
      <c r="B1091" s="95"/>
      <c r="C1091" s="102"/>
      <c r="D1091" s="95"/>
      <c r="E1091" s="95"/>
      <c r="F1091" s="95"/>
      <c r="G1091" s="95"/>
      <c r="H1091" s="95"/>
      <c r="I1091" s="95"/>
      <c r="J1091" s="95"/>
      <c r="K1091" s="95"/>
      <c r="L1091" s="95"/>
      <c r="M1091" s="95"/>
      <c r="N1091" s="95"/>
      <c r="O1091" s="95"/>
      <c r="P1091" s="95"/>
      <c r="Q1091" s="95"/>
      <c r="R1091" s="95"/>
      <c r="S1091" s="95"/>
      <c r="T1091" s="95"/>
      <c r="U1091" s="95"/>
      <c r="V1091" s="95"/>
      <c r="W1091" s="95"/>
      <c r="X1091" s="95"/>
      <c r="Y1091" s="95"/>
      <c r="Z1091" s="95"/>
      <c r="AA1091" s="95"/>
      <c r="AB1091" s="95"/>
      <c r="AC1091" s="95"/>
    </row>
    <row r="1092" ht="15.75" customHeight="1" spans="1:29">
      <c r="A1092" s="95"/>
      <c r="B1092" s="95"/>
      <c r="C1092" s="102"/>
      <c r="D1092" s="95"/>
      <c r="E1092" s="95"/>
      <c r="F1092" s="95"/>
      <c r="G1092" s="95"/>
      <c r="H1092" s="95"/>
      <c r="I1092" s="95"/>
      <c r="J1092" s="95"/>
      <c r="K1092" s="95"/>
      <c r="L1092" s="95"/>
      <c r="M1092" s="95"/>
      <c r="N1092" s="95"/>
      <c r="O1092" s="95"/>
      <c r="P1092" s="95"/>
      <c r="Q1092" s="95"/>
      <c r="R1092" s="95"/>
      <c r="S1092" s="95"/>
      <c r="T1092" s="95"/>
      <c r="U1092" s="95"/>
      <c r="V1092" s="95"/>
      <c r="W1092" s="95"/>
      <c r="X1092" s="95"/>
      <c r="Y1092" s="95"/>
      <c r="Z1092" s="95"/>
      <c r="AA1092" s="95"/>
      <c r="AB1092" s="95"/>
      <c r="AC1092" s="95"/>
    </row>
    <row r="1093" ht="15.75" customHeight="1" spans="1:29">
      <c r="A1093" s="95"/>
      <c r="B1093" s="95"/>
      <c r="C1093" s="102"/>
      <c r="D1093" s="95"/>
      <c r="E1093" s="95"/>
      <c r="F1093" s="95"/>
      <c r="G1093" s="95"/>
      <c r="H1093" s="95"/>
      <c r="I1093" s="95"/>
      <c r="J1093" s="95"/>
      <c r="K1093" s="95"/>
      <c r="L1093" s="95"/>
      <c r="M1093" s="95"/>
      <c r="N1093" s="95"/>
      <c r="O1093" s="95"/>
      <c r="P1093" s="95"/>
      <c r="Q1093" s="95"/>
      <c r="R1093" s="95"/>
      <c r="S1093" s="95"/>
      <c r="T1093" s="95"/>
      <c r="U1093" s="95"/>
      <c r="V1093" s="95"/>
      <c r="W1093" s="95"/>
      <c r="X1093" s="95"/>
      <c r="Y1093" s="95"/>
      <c r="Z1093" s="95"/>
      <c r="AA1093" s="95"/>
      <c r="AB1093" s="95"/>
      <c r="AC1093" s="95"/>
    </row>
    <row r="1094" ht="15.75" customHeight="1" spans="1:29">
      <c r="A1094" s="95"/>
      <c r="B1094" s="95"/>
      <c r="C1094" s="102"/>
      <c r="D1094" s="95"/>
      <c r="E1094" s="95"/>
      <c r="F1094" s="95"/>
      <c r="G1094" s="95"/>
      <c r="H1094" s="95"/>
      <c r="I1094" s="95"/>
      <c r="J1094" s="95"/>
      <c r="K1094" s="95"/>
      <c r="L1094" s="95"/>
      <c r="M1094" s="95"/>
      <c r="N1094" s="95"/>
      <c r="O1094" s="95"/>
      <c r="P1094" s="95"/>
      <c r="Q1094" s="95"/>
      <c r="R1094" s="95"/>
      <c r="S1094" s="95"/>
      <c r="T1094" s="95"/>
      <c r="U1094" s="95"/>
      <c r="V1094" s="95"/>
      <c r="W1094" s="95"/>
      <c r="X1094" s="95"/>
      <c r="Y1094" s="95"/>
      <c r="Z1094" s="95"/>
      <c r="AA1094" s="95"/>
      <c r="AB1094" s="95"/>
      <c r="AC1094" s="95"/>
    </row>
    <row r="1095" ht="15.75" customHeight="1" spans="1:29">
      <c r="A1095" s="95"/>
      <c r="B1095" s="95"/>
      <c r="C1095" s="102"/>
      <c r="D1095" s="95"/>
      <c r="E1095" s="95"/>
      <c r="F1095" s="95"/>
      <c r="G1095" s="95"/>
      <c r="H1095" s="95"/>
      <c r="I1095" s="95"/>
      <c r="J1095" s="95"/>
      <c r="K1095" s="95"/>
      <c r="L1095" s="95"/>
      <c r="M1095" s="95"/>
      <c r="N1095" s="95"/>
      <c r="O1095" s="95"/>
      <c r="P1095" s="95"/>
      <c r="Q1095" s="95"/>
      <c r="R1095" s="95"/>
      <c r="S1095" s="95"/>
      <c r="T1095" s="95"/>
      <c r="U1095" s="95"/>
      <c r="V1095" s="95"/>
      <c r="W1095" s="95"/>
      <c r="X1095" s="95"/>
      <c r="Y1095" s="95"/>
      <c r="Z1095" s="95"/>
      <c r="AA1095" s="95"/>
      <c r="AB1095" s="95"/>
      <c r="AC1095" s="95"/>
    </row>
    <row r="1096" ht="15.75" customHeight="1" spans="1:29">
      <c r="A1096" s="95"/>
      <c r="B1096" s="95"/>
      <c r="C1096" s="102"/>
      <c r="D1096" s="95"/>
      <c r="E1096" s="95"/>
      <c r="F1096" s="95"/>
      <c r="G1096" s="95"/>
      <c r="H1096" s="95"/>
      <c r="I1096" s="95"/>
      <c r="J1096" s="95"/>
      <c r="K1096" s="95"/>
      <c r="L1096" s="95"/>
      <c r="M1096" s="95"/>
      <c r="N1096" s="95"/>
      <c r="O1096" s="95"/>
      <c r="P1096" s="95"/>
      <c r="Q1096" s="95"/>
      <c r="R1096" s="95"/>
      <c r="S1096" s="95"/>
      <c r="T1096" s="95"/>
      <c r="U1096" s="95"/>
      <c r="V1096" s="95"/>
      <c r="W1096" s="95"/>
      <c r="X1096" s="95"/>
      <c r="Y1096" s="95"/>
      <c r="Z1096" s="95"/>
      <c r="AA1096" s="95"/>
      <c r="AB1096" s="95"/>
      <c r="AC1096" s="95"/>
    </row>
    <row r="1097" ht="15.75" customHeight="1" spans="1:29">
      <c r="A1097" s="95"/>
      <c r="B1097" s="95"/>
      <c r="C1097" s="102"/>
      <c r="D1097" s="95"/>
      <c r="E1097" s="95"/>
      <c r="F1097" s="95"/>
      <c r="G1097" s="95"/>
      <c r="H1097" s="95"/>
      <c r="I1097" s="95"/>
      <c r="J1097" s="95"/>
      <c r="K1097" s="95"/>
      <c r="L1097" s="95"/>
      <c r="M1097" s="95"/>
      <c r="N1097" s="95"/>
      <c r="O1097" s="95"/>
      <c r="P1097" s="95"/>
      <c r="Q1097" s="95"/>
      <c r="R1097" s="95"/>
      <c r="S1097" s="95"/>
      <c r="T1097" s="95"/>
      <c r="U1097" s="95"/>
      <c r="V1097" s="95"/>
      <c r="W1097" s="95"/>
      <c r="X1097" s="95"/>
      <c r="Y1097" s="95"/>
      <c r="Z1097" s="95"/>
      <c r="AA1097" s="95"/>
      <c r="AB1097" s="95"/>
      <c r="AC1097" s="95"/>
    </row>
    <row r="1098" ht="15.75" customHeight="1" spans="1:29">
      <c r="A1098" s="95"/>
      <c r="B1098" s="95"/>
      <c r="C1098" s="102"/>
      <c r="D1098" s="95"/>
      <c r="E1098" s="95"/>
      <c r="F1098" s="95"/>
      <c r="G1098" s="95"/>
      <c r="H1098" s="95"/>
      <c r="I1098" s="95"/>
      <c r="J1098" s="95"/>
      <c r="K1098" s="95"/>
      <c r="L1098" s="95"/>
      <c r="M1098" s="95"/>
      <c r="N1098" s="95"/>
      <c r="O1098" s="95"/>
      <c r="P1098" s="95"/>
      <c r="Q1098" s="95"/>
      <c r="R1098" s="95"/>
      <c r="S1098" s="95"/>
      <c r="T1098" s="95"/>
      <c r="U1098" s="95"/>
      <c r="V1098" s="95"/>
      <c r="W1098" s="95"/>
      <c r="X1098" s="95"/>
      <c r="Y1098" s="95"/>
      <c r="Z1098" s="95"/>
      <c r="AA1098" s="95"/>
      <c r="AB1098" s="95"/>
      <c r="AC1098" s="95"/>
    </row>
    <row r="1099" ht="15.75" customHeight="1" spans="1:29">
      <c r="A1099" s="95"/>
      <c r="B1099" s="95"/>
      <c r="C1099" s="102"/>
      <c r="D1099" s="95"/>
      <c r="E1099" s="95"/>
      <c r="F1099" s="95"/>
      <c r="G1099" s="95"/>
      <c r="H1099" s="95"/>
      <c r="I1099" s="95"/>
      <c r="J1099" s="95"/>
      <c r="K1099" s="95"/>
      <c r="L1099" s="95"/>
      <c r="M1099" s="95"/>
      <c r="N1099" s="95"/>
      <c r="O1099" s="95"/>
      <c r="P1099" s="95"/>
      <c r="Q1099" s="95"/>
      <c r="R1099" s="95"/>
      <c r="S1099" s="95"/>
      <c r="T1099" s="95"/>
      <c r="U1099" s="95"/>
      <c r="V1099" s="95"/>
      <c r="W1099" s="95"/>
      <c r="X1099" s="95"/>
      <c r="Y1099" s="95"/>
      <c r="Z1099" s="95"/>
      <c r="AA1099" s="95"/>
      <c r="AB1099" s="95"/>
      <c r="AC1099" s="95"/>
    </row>
  </sheetData>
  <autoFilter xmlns:etc="http://www.wps.cn/officeDocument/2017/etCustomData" ref="A1:AC1098" etc:filterBottomFollowUsedRange="0">
    <extLst/>
  </autoFilter>
  <pageMargins left="0.75" right="0.75" top="1" bottom="1" header="0.5" footer="0.5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X68"/>
  <sheetViews>
    <sheetView workbookViewId="0">
      <selection activeCell="A1" sqref="A1"/>
    </sheetView>
  </sheetViews>
  <sheetFormatPr defaultColWidth="14.43" defaultRowHeight="15" customHeight="1"/>
  <cols>
    <col min="1" max="1" width="24.43" customWidth="1"/>
    <col min="2" max="2" width="8.86" customWidth="1"/>
    <col min="3" max="3" width="42.57" customWidth="1"/>
    <col min="4" max="4" width="15.86" customWidth="1"/>
    <col min="5" max="5" width="16" customWidth="1"/>
    <col min="6" max="6" width="13.29" customWidth="1"/>
    <col min="7" max="7" width="46.71" customWidth="1"/>
    <col min="8" max="8" width="6.43" customWidth="1"/>
    <col min="9" max="9" width="11.71" customWidth="1"/>
    <col min="10" max="10" width="6.57" customWidth="1"/>
    <col min="11" max="11" width="10.57" customWidth="1"/>
    <col min="12" max="12" width="7.14" customWidth="1"/>
    <col min="13" max="13" width="9.57" customWidth="1"/>
    <col min="14" max="14" width="4.57" customWidth="1"/>
    <col min="15" max="15" width="9.86" customWidth="1"/>
    <col min="17" max="23" width="14.43" hidden="1" customWidth="1"/>
  </cols>
  <sheetData>
    <row r="1" ht="17" spans="1:23">
      <c r="A1" s="33"/>
      <c r="B1" s="33"/>
      <c r="C1" s="33"/>
      <c r="D1" s="33"/>
      <c r="E1" s="33"/>
      <c r="F1" s="33"/>
      <c r="G1" s="33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</row>
    <row r="2" ht="17" spans="1:23">
      <c r="A2" s="35" t="s">
        <v>68</v>
      </c>
      <c r="Q2" s="34"/>
      <c r="R2" s="34"/>
      <c r="S2" s="34"/>
      <c r="T2" s="34"/>
      <c r="U2" s="34"/>
      <c r="V2" s="34"/>
      <c r="W2" s="34"/>
    </row>
    <row r="3" ht="17" spans="1:23">
      <c r="A3" s="33"/>
      <c r="B3" s="33"/>
      <c r="C3" s="33"/>
      <c r="D3" s="33"/>
      <c r="E3" s="33"/>
      <c r="F3" s="33"/>
      <c r="G3" s="33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</row>
    <row r="4" ht="17" spans="1:23">
      <c r="A4" s="36" t="s">
        <v>23</v>
      </c>
      <c r="C4" s="37" t="s">
        <v>24</v>
      </c>
      <c r="D4" s="38" t="s">
        <v>25</v>
      </c>
      <c r="E4" s="39"/>
      <c r="F4" s="39"/>
      <c r="G4" s="39"/>
      <c r="H4" s="39"/>
      <c r="I4" s="39"/>
      <c r="J4" s="39"/>
      <c r="K4" s="39"/>
      <c r="L4" s="39"/>
      <c r="M4" s="39"/>
      <c r="N4" s="39"/>
      <c r="O4" s="39"/>
      <c r="P4" s="40"/>
      <c r="Q4" s="34"/>
      <c r="R4" s="34"/>
      <c r="S4" s="34"/>
      <c r="T4" s="34"/>
      <c r="U4" s="34"/>
      <c r="V4" s="34"/>
      <c r="W4" s="34"/>
    </row>
    <row r="5" ht="17" spans="1:23">
      <c r="A5" s="41"/>
      <c r="C5" s="42"/>
      <c r="D5" s="38" t="s">
        <v>26</v>
      </c>
      <c r="E5" s="39"/>
      <c r="F5" s="39"/>
      <c r="G5" s="40"/>
      <c r="H5" s="38" t="s">
        <v>27</v>
      </c>
      <c r="I5" s="40"/>
      <c r="J5" s="38" t="s">
        <v>28</v>
      </c>
      <c r="K5" s="39"/>
      <c r="L5" s="39"/>
      <c r="M5" s="39"/>
      <c r="N5" s="39"/>
      <c r="O5" s="40"/>
      <c r="P5" s="43" t="s">
        <v>29</v>
      </c>
      <c r="Q5" s="34"/>
      <c r="R5" s="34"/>
      <c r="S5" s="34"/>
      <c r="T5" s="34"/>
      <c r="U5" s="34"/>
      <c r="V5" s="34"/>
      <c r="W5" s="34"/>
    </row>
    <row r="6" ht="17" spans="1:23">
      <c r="A6" s="41"/>
      <c r="C6" s="42"/>
      <c r="D6" s="44" t="s">
        <v>30</v>
      </c>
      <c r="E6" s="44" t="s">
        <v>31</v>
      </c>
      <c r="F6" s="44" t="s">
        <v>32</v>
      </c>
      <c r="G6" s="45" t="s">
        <v>33</v>
      </c>
      <c r="H6" s="38" t="s">
        <v>32</v>
      </c>
      <c r="I6" s="40"/>
      <c r="J6" s="38" t="s">
        <v>34</v>
      </c>
      <c r="K6" s="40"/>
      <c r="L6" s="38" t="s">
        <v>35</v>
      </c>
      <c r="M6" s="40"/>
      <c r="N6" s="46" t="s">
        <v>33</v>
      </c>
      <c r="O6" s="40"/>
      <c r="P6" s="40"/>
      <c r="Q6" s="34"/>
      <c r="R6" s="34"/>
      <c r="S6" s="34"/>
      <c r="T6" s="34"/>
      <c r="U6" s="34"/>
      <c r="V6" s="34"/>
      <c r="W6" s="34"/>
    </row>
    <row r="7" ht="17" spans="1:23">
      <c r="A7" s="47"/>
      <c r="B7" s="39"/>
      <c r="C7" s="40"/>
      <c r="D7" s="44" t="s">
        <v>36</v>
      </c>
      <c r="E7" s="44" t="s">
        <v>36</v>
      </c>
      <c r="F7" s="44" t="s">
        <v>36</v>
      </c>
      <c r="G7" s="45" t="s">
        <v>36</v>
      </c>
      <c r="H7" s="44" t="s">
        <v>37</v>
      </c>
      <c r="I7" s="44" t="s">
        <v>38</v>
      </c>
      <c r="J7" s="44" t="s">
        <v>37</v>
      </c>
      <c r="K7" s="44" t="s">
        <v>38</v>
      </c>
      <c r="L7" s="44" t="s">
        <v>37</v>
      </c>
      <c r="M7" s="44" t="s">
        <v>38</v>
      </c>
      <c r="N7" s="45" t="s">
        <v>37</v>
      </c>
      <c r="O7" s="45" t="s">
        <v>38</v>
      </c>
      <c r="P7" s="48" t="s">
        <v>39</v>
      </c>
      <c r="Q7" s="34"/>
      <c r="R7" s="34"/>
      <c r="S7" s="34"/>
      <c r="T7" s="34"/>
      <c r="U7" s="34"/>
      <c r="V7" s="34"/>
      <c r="W7" s="34"/>
    </row>
    <row r="8" ht="17" spans="1:23">
      <c r="A8" s="49" t="s">
        <v>69</v>
      </c>
      <c r="B8" s="42"/>
      <c r="C8" s="50" t="s">
        <v>41</v>
      </c>
      <c r="D8" s="51">
        <v>15</v>
      </c>
      <c r="E8" s="51">
        <v>15</v>
      </c>
      <c r="F8" s="51">
        <v>20</v>
      </c>
      <c r="G8" s="52">
        <v>50</v>
      </c>
      <c r="H8" s="51"/>
      <c r="I8" s="51"/>
      <c r="J8" s="51">
        <v>20</v>
      </c>
      <c r="K8" s="51"/>
      <c r="L8" s="51"/>
      <c r="M8" s="51">
        <v>20</v>
      </c>
      <c r="N8" s="52">
        <v>20</v>
      </c>
      <c r="O8" s="52">
        <v>20</v>
      </c>
      <c r="P8" s="53">
        <v>90</v>
      </c>
      <c r="Q8" s="34"/>
      <c r="R8" s="34"/>
      <c r="S8" s="34"/>
      <c r="T8" s="34"/>
      <c r="U8" s="34"/>
      <c r="V8" s="34"/>
      <c r="W8" s="34"/>
    </row>
    <row r="9" ht="17" spans="1:23">
      <c r="A9" s="41"/>
      <c r="B9" s="42"/>
      <c r="C9" s="50" t="s">
        <v>42</v>
      </c>
      <c r="D9" s="51">
        <v>15</v>
      </c>
      <c r="E9" s="51">
        <v>15</v>
      </c>
      <c r="F9" s="51">
        <v>20</v>
      </c>
      <c r="G9" s="52">
        <v>50</v>
      </c>
      <c r="H9" s="51">
        <v>0</v>
      </c>
      <c r="I9" s="51">
        <v>0</v>
      </c>
      <c r="J9" s="51">
        <v>20</v>
      </c>
      <c r="K9" s="51">
        <v>0</v>
      </c>
      <c r="L9" s="51"/>
      <c r="M9" s="51">
        <v>11</v>
      </c>
      <c r="N9" s="52">
        <v>20</v>
      </c>
      <c r="O9" s="52">
        <v>11</v>
      </c>
      <c r="P9" s="54">
        <v>81</v>
      </c>
      <c r="Q9" s="34"/>
      <c r="R9" s="34"/>
      <c r="S9" s="34"/>
      <c r="T9" s="34"/>
      <c r="U9" s="34"/>
      <c r="V9" s="34"/>
      <c r="W9" s="34"/>
    </row>
    <row r="10" ht="17" spans="1:23">
      <c r="A10" s="47"/>
      <c r="B10" s="40"/>
      <c r="C10" s="55" t="s">
        <v>43</v>
      </c>
      <c r="D10" s="56">
        <v>0</v>
      </c>
      <c r="E10" s="56">
        <v>0</v>
      </c>
      <c r="F10" s="56">
        <v>0</v>
      </c>
      <c r="G10" s="56">
        <v>0</v>
      </c>
      <c r="H10" s="56">
        <v>0</v>
      </c>
      <c r="I10" s="56">
        <v>0</v>
      </c>
      <c r="J10" s="56">
        <v>0</v>
      </c>
      <c r="K10" s="56">
        <v>0</v>
      </c>
      <c r="L10" s="56">
        <v>0</v>
      </c>
      <c r="M10" s="56">
        <v>9</v>
      </c>
      <c r="N10" s="56">
        <v>0</v>
      </c>
      <c r="O10" s="56">
        <v>9</v>
      </c>
      <c r="P10" s="56">
        <v>9</v>
      </c>
      <c r="Q10" s="34"/>
      <c r="R10" s="34"/>
      <c r="S10" s="34"/>
      <c r="T10" s="34"/>
      <c r="U10" s="34"/>
      <c r="V10" s="34"/>
      <c r="W10" s="34"/>
    </row>
    <row r="11" ht="17" spans="1:23">
      <c r="A11" s="49" t="s">
        <v>70</v>
      </c>
      <c r="B11" s="42"/>
      <c r="C11" s="50" t="s">
        <v>41</v>
      </c>
      <c r="D11" s="51"/>
      <c r="E11" s="51"/>
      <c r="F11" s="51"/>
      <c r="G11" s="52">
        <v>0</v>
      </c>
      <c r="H11" s="51">
        <v>20</v>
      </c>
      <c r="I11" s="51"/>
      <c r="J11" s="51">
        <v>20</v>
      </c>
      <c r="K11" s="51"/>
      <c r="L11" s="51"/>
      <c r="M11" s="51">
        <v>40</v>
      </c>
      <c r="N11" s="52">
        <v>40</v>
      </c>
      <c r="O11" s="52">
        <v>40</v>
      </c>
      <c r="P11" s="53">
        <v>80</v>
      </c>
      <c r="Q11" s="34"/>
      <c r="R11" s="34"/>
      <c r="S11" s="34"/>
      <c r="T11" s="34"/>
      <c r="U11" s="34"/>
      <c r="V11" s="34"/>
      <c r="W11" s="34"/>
    </row>
    <row r="12" ht="17" spans="1:23">
      <c r="A12" s="41"/>
      <c r="B12" s="42"/>
      <c r="C12" s="50" t="s">
        <v>42</v>
      </c>
      <c r="D12" s="51">
        <v>0</v>
      </c>
      <c r="E12" s="51">
        <v>0</v>
      </c>
      <c r="F12" s="51">
        <v>0</v>
      </c>
      <c r="G12" s="52">
        <v>0</v>
      </c>
      <c r="H12" s="51">
        <v>20</v>
      </c>
      <c r="I12" s="51">
        <v>0</v>
      </c>
      <c r="J12" s="51">
        <v>20</v>
      </c>
      <c r="K12" s="51">
        <v>0</v>
      </c>
      <c r="L12" s="51">
        <v>0</v>
      </c>
      <c r="M12" s="51">
        <v>40</v>
      </c>
      <c r="N12" s="52">
        <v>40</v>
      </c>
      <c r="O12" s="52">
        <v>40</v>
      </c>
      <c r="P12" s="54">
        <v>80</v>
      </c>
      <c r="Q12" s="34"/>
      <c r="R12" s="34"/>
      <c r="S12" s="34"/>
      <c r="T12" s="34"/>
      <c r="U12" s="34"/>
      <c r="V12" s="34"/>
      <c r="W12" s="34"/>
    </row>
    <row r="13" ht="17" spans="1:23">
      <c r="A13" s="47"/>
      <c r="B13" s="40"/>
      <c r="C13" s="55" t="s">
        <v>43</v>
      </c>
      <c r="D13" s="56">
        <v>0</v>
      </c>
      <c r="E13" s="56">
        <v>0</v>
      </c>
      <c r="F13" s="56">
        <v>0</v>
      </c>
      <c r="G13" s="56">
        <v>0</v>
      </c>
      <c r="H13" s="56">
        <v>0</v>
      </c>
      <c r="I13" s="56">
        <v>0</v>
      </c>
      <c r="J13" s="56">
        <v>0</v>
      </c>
      <c r="K13" s="56">
        <v>0</v>
      </c>
      <c r="L13" s="56">
        <v>0</v>
      </c>
      <c r="M13" s="56">
        <v>0</v>
      </c>
      <c r="N13" s="56">
        <v>0</v>
      </c>
      <c r="O13" s="56">
        <v>0</v>
      </c>
      <c r="P13" s="56">
        <v>0</v>
      </c>
      <c r="Q13" s="34"/>
      <c r="R13" s="34"/>
      <c r="S13" s="34"/>
      <c r="T13" s="34"/>
      <c r="U13" s="34"/>
      <c r="V13" s="34"/>
      <c r="W13" s="34"/>
    </row>
    <row r="14" ht="17" spans="1:23">
      <c r="A14" s="49" t="s">
        <v>71</v>
      </c>
      <c r="B14" s="42"/>
      <c r="C14" s="50" t="s">
        <v>41</v>
      </c>
      <c r="D14" s="51"/>
      <c r="E14" s="51"/>
      <c r="F14" s="51"/>
      <c r="G14" s="52">
        <v>0</v>
      </c>
      <c r="H14" s="51">
        <v>20</v>
      </c>
      <c r="I14" s="51">
        <v>20</v>
      </c>
      <c r="J14" s="51">
        <v>20</v>
      </c>
      <c r="K14" s="51">
        <v>20</v>
      </c>
      <c r="L14" s="51">
        <v>20</v>
      </c>
      <c r="M14" s="51">
        <v>20</v>
      </c>
      <c r="N14" s="52">
        <v>60</v>
      </c>
      <c r="O14" s="52">
        <v>60</v>
      </c>
      <c r="P14" s="53">
        <v>120</v>
      </c>
      <c r="Q14" s="34"/>
      <c r="R14" s="34"/>
      <c r="S14" s="34"/>
      <c r="T14" s="34"/>
      <c r="U14" s="34"/>
      <c r="V14" s="34"/>
      <c r="W14" s="34"/>
    </row>
    <row r="15" ht="17" spans="1:23">
      <c r="A15" s="41"/>
      <c r="B15" s="42"/>
      <c r="C15" s="50" t="s">
        <v>42</v>
      </c>
      <c r="D15" s="51">
        <v>0</v>
      </c>
      <c r="E15" s="51">
        <v>0</v>
      </c>
      <c r="F15" s="51">
        <v>0</v>
      </c>
      <c r="G15" s="52">
        <v>0</v>
      </c>
      <c r="H15" s="51">
        <v>14</v>
      </c>
      <c r="I15" s="51">
        <v>20</v>
      </c>
      <c r="J15" s="51">
        <v>20</v>
      </c>
      <c r="K15" s="51">
        <v>20</v>
      </c>
      <c r="L15" s="51">
        <v>21</v>
      </c>
      <c r="M15" s="51">
        <v>21</v>
      </c>
      <c r="N15" s="52">
        <v>55</v>
      </c>
      <c r="O15" s="52">
        <v>61</v>
      </c>
      <c r="P15" s="54">
        <v>116</v>
      </c>
      <c r="Q15" s="34"/>
      <c r="R15" s="34"/>
      <c r="S15" s="34"/>
      <c r="T15" s="34"/>
      <c r="U15" s="34"/>
      <c r="V15" s="34"/>
      <c r="W15" s="34"/>
    </row>
    <row r="16" ht="17" spans="1:23">
      <c r="A16" s="47"/>
      <c r="B16" s="40"/>
      <c r="C16" s="55" t="s">
        <v>43</v>
      </c>
      <c r="D16" s="56">
        <v>0</v>
      </c>
      <c r="E16" s="56">
        <v>0</v>
      </c>
      <c r="F16" s="56">
        <v>0</v>
      </c>
      <c r="G16" s="56">
        <v>0</v>
      </c>
      <c r="H16" s="56">
        <v>6</v>
      </c>
      <c r="I16" s="56">
        <v>0</v>
      </c>
      <c r="J16" s="56">
        <v>0</v>
      </c>
      <c r="K16" s="56">
        <v>0</v>
      </c>
      <c r="L16" s="56">
        <v>-1</v>
      </c>
      <c r="M16" s="56">
        <v>-1</v>
      </c>
      <c r="N16" s="56">
        <v>5</v>
      </c>
      <c r="O16" s="56">
        <v>-1</v>
      </c>
      <c r="P16" s="56">
        <v>4</v>
      </c>
      <c r="Q16" s="34"/>
      <c r="R16" s="34"/>
      <c r="S16" s="34"/>
      <c r="T16" s="34"/>
      <c r="U16" s="34"/>
      <c r="V16" s="34"/>
      <c r="W16" s="34"/>
    </row>
    <row r="17" ht="17" spans="1:24">
      <c r="A17" s="49" t="s">
        <v>72</v>
      </c>
      <c r="B17" s="42"/>
      <c r="C17" s="50" t="s">
        <v>41</v>
      </c>
      <c r="D17" s="51">
        <v>30</v>
      </c>
      <c r="E17" s="51">
        <v>40</v>
      </c>
      <c r="F17" s="51">
        <v>60</v>
      </c>
      <c r="G17" s="52">
        <v>130</v>
      </c>
      <c r="H17" s="51"/>
      <c r="I17" s="51"/>
      <c r="J17" s="51">
        <v>40</v>
      </c>
      <c r="K17" s="51">
        <v>40</v>
      </c>
      <c r="L17" s="51">
        <v>20</v>
      </c>
      <c r="M17" s="51">
        <v>20</v>
      </c>
      <c r="N17" s="52">
        <v>60</v>
      </c>
      <c r="O17" s="52">
        <v>60</v>
      </c>
      <c r="P17" s="53">
        <v>250</v>
      </c>
      <c r="Q17" s="34"/>
      <c r="R17" s="34"/>
      <c r="S17" s="34"/>
      <c r="T17" s="34"/>
      <c r="U17" s="34"/>
      <c r="V17" s="34"/>
      <c r="W17" s="34"/>
    </row>
    <row r="18" ht="17" spans="1:24">
      <c r="A18" s="41"/>
      <c r="B18" s="42"/>
      <c r="C18" s="50" t="s">
        <v>42</v>
      </c>
      <c r="D18" s="51">
        <v>30</v>
      </c>
      <c r="E18" s="51">
        <v>40</v>
      </c>
      <c r="F18" s="51">
        <v>60</v>
      </c>
      <c r="G18" s="52">
        <v>129</v>
      </c>
      <c r="H18" s="51">
        <v>0</v>
      </c>
      <c r="I18" s="51">
        <v>0</v>
      </c>
      <c r="J18" s="51">
        <v>19</v>
      </c>
      <c r="K18" s="51">
        <v>40</v>
      </c>
      <c r="L18" s="51">
        <v>12</v>
      </c>
      <c r="M18" s="51">
        <v>19</v>
      </c>
      <c r="N18" s="52">
        <v>31</v>
      </c>
      <c r="O18" s="52">
        <v>59</v>
      </c>
      <c r="P18" s="54">
        <v>219</v>
      </c>
      <c r="Q18" s="34"/>
      <c r="R18" s="34"/>
      <c r="S18" s="34"/>
      <c r="T18" s="34"/>
      <c r="U18" s="34"/>
      <c r="V18" s="34"/>
      <c r="W18" s="34"/>
    </row>
    <row r="19" ht="17" spans="1:24">
      <c r="A19" s="47"/>
      <c r="B19" s="40"/>
      <c r="C19" s="55" t="s">
        <v>43</v>
      </c>
      <c r="D19" s="56">
        <v>0</v>
      </c>
      <c r="E19" s="56">
        <v>0</v>
      </c>
      <c r="F19" s="56">
        <v>0</v>
      </c>
      <c r="G19" s="56">
        <v>1</v>
      </c>
      <c r="H19" s="56">
        <v>0</v>
      </c>
      <c r="I19" s="56">
        <v>0</v>
      </c>
      <c r="J19" s="56">
        <v>21</v>
      </c>
      <c r="K19" s="56">
        <v>0</v>
      </c>
      <c r="L19" s="56">
        <v>8</v>
      </c>
      <c r="M19" s="56">
        <v>1</v>
      </c>
      <c r="N19" s="56">
        <v>29</v>
      </c>
      <c r="O19" s="56">
        <v>1</v>
      </c>
      <c r="P19" s="56">
        <v>31</v>
      </c>
      <c r="Q19" s="34"/>
      <c r="R19" s="34"/>
      <c r="S19" s="34"/>
      <c r="T19" s="34"/>
      <c r="U19" s="34"/>
      <c r="V19" s="34"/>
      <c r="W19" s="34"/>
    </row>
    <row r="20" ht="17" spans="1:24">
      <c r="A20" s="49" t="s">
        <v>73</v>
      </c>
      <c r="B20" s="42"/>
      <c r="C20" s="50" t="s">
        <v>41</v>
      </c>
      <c r="D20" s="51">
        <v>15</v>
      </c>
      <c r="E20" s="51">
        <v>30</v>
      </c>
      <c r="F20" s="51">
        <v>20</v>
      </c>
      <c r="G20" s="52">
        <v>65</v>
      </c>
      <c r="H20" s="51"/>
      <c r="I20" s="51"/>
      <c r="J20" s="51"/>
      <c r="K20" s="51"/>
      <c r="L20" s="51"/>
      <c r="M20" s="51"/>
      <c r="N20" s="52">
        <v>0</v>
      </c>
      <c r="O20" s="52">
        <v>0</v>
      </c>
      <c r="P20" s="53">
        <v>65</v>
      </c>
      <c r="Q20" s="34"/>
      <c r="R20" s="34"/>
      <c r="S20" s="34"/>
      <c r="T20" s="34"/>
      <c r="U20" s="34"/>
      <c r="V20" s="34"/>
      <c r="W20" s="34"/>
    </row>
    <row r="21" ht="15.75" customHeight="1" spans="1:24">
      <c r="A21" s="41"/>
      <c r="B21" s="42"/>
      <c r="C21" s="50" t="s">
        <v>42</v>
      </c>
      <c r="D21" s="51">
        <v>15</v>
      </c>
      <c r="E21" s="51">
        <v>30</v>
      </c>
      <c r="F21" s="51">
        <v>20</v>
      </c>
      <c r="G21" s="52">
        <v>46</v>
      </c>
      <c r="H21" s="51">
        <v>0</v>
      </c>
      <c r="I21" s="51">
        <v>0</v>
      </c>
      <c r="J21" s="51">
        <v>0</v>
      </c>
      <c r="K21" s="51">
        <v>0</v>
      </c>
      <c r="L21" s="51">
        <v>0</v>
      </c>
      <c r="M21" s="51">
        <v>0</v>
      </c>
      <c r="N21" s="52">
        <v>0</v>
      </c>
      <c r="O21" s="52">
        <v>0</v>
      </c>
      <c r="P21" s="54">
        <v>46</v>
      </c>
      <c r="Q21" s="34"/>
      <c r="R21" s="34"/>
      <c r="S21" s="34"/>
      <c r="T21" s="34"/>
      <c r="U21" s="34"/>
      <c r="V21" s="34"/>
      <c r="W21" s="34"/>
    </row>
    <row r="22" ht="15.75" customHeight="1" spans="1:24">
      <c r="A22" s="47"/>
      <c r="B22" s="40"/>
      <c r="C22" s="55" t="s">
        <v>43</v>
      </c>
      <c r="D22" s="57">
        <v>0</v>
      </c>
      <c r="E22" s="57">
        <v>0</v>
      </c>
      <c r="F22" s="57">
        <v>0</v>
      </c>
      <c r="G22" s="57">
        <v>19</v>
      </c>
      <c r="H22" s="57">
        <v>0</v>
      </c>
      <c r="I22" s="57">
        <v>0</v>
      </c>
      <c r="J22" s="57">
        <v>0</v>
      </c>
      <c r="K22" s="57">
        <v>0</v>
      </c>
      <c r="L22" s="57">
        <v>0</v>
      </c>
      <c r="M22" s="57">
        <v>0</v>
      </c>
      <c r="N22" s="56">
        <v>0</v>
      </c>
      <c r="O22" s="56">
        <v>0</v>
      </c>
      <c r="P22" s="56">
        <v>19</v>
      </c>
      <c r="Q22" s="34"/>
      <c r="R22" s="34"/>
      <c r="S22" s="34"/>
      <c r="T22" s="34"/>
      <c r="U22" s="34"/>
      <c r="V22" s="34"/>
      <c r="W22" s="34"/>
    </row>
    <row r="23" ht="15.75" customHeight="1" spans="1:24">
      <c r="A23" s="33"/>
      <c r="B23" s="33"/>
      <c r="C23" s="33"/>
      <c r="D23" s="33"/>
      <c r="E23" s="33"/>
      <c r="F23" s="33"/>
      <c r="G23" s="33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</row>
    <row r="24" ht="15.75" customHeight="1" spans="1:24">
      <c r="A24" s="33"/>
      <c r="B24" s="33"/>
      <c r="C24" s="33"/>
      <c r="D24" s="33"/>
      <c r="E24" s="33"/>
      <c r="F24" s="33"/>
      <c r="G24" s="33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</row>
    <row r="25" ht="51" spans="1:24">
      <c r="A25" s="58" t="s">
        <v>14</v>
      </c>
      <c r="B25" s="59" t="s">
        <v>6</v>
      </c>
      <c r="C25" s="59" t="s">
        <v>15</v>
      </c>
      <c r="D25" s="59" t="s">
        <v>16</v>
      </c>
      <c r="E25" s="59" t="s">
        <v>10</v>
      </c>
      <c r="F25" s="60" t="s">
        <v>17</v>
      </c>
      <c r="G25" s="60" t="s">
        <v>18</v>
      </c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</row>
    <row r="26" ht="15.75" customHeight="1" spans="1:24">
      <c r="A26" s="62" t="str">
        <f>IFERROR(__xludf.DUMMYFUNCTION("QUERY(dados_02!$A$2:$H$675, ""SELECT Col1, Col2, Col3, Col4, Col5, Col6, Col7  where Col8 = 'REGIONAL 7' "")"),"24/03/2026 13:31:53")</f>
        <v>24/03/2026 13:31:53</v>
      </c>
      <c r="B26" s="63" t="str">
        <f>IFERROR(__xludf.DUMMYFUNCTION("""COMPUTED_VALUE"""),"1")</f>
        <v>1</v>
      </c>
      <c r="C26" s="34" t="str">
        <f>IFERROR(__xludf.DUMMYFUNCTION("""COMPUTED_VALUE"""),"M. E. S. F. D. S")</f>
        <v>M. E. S. F. D. S</v>
      </c>
      <c r="D26" s="64" t="str">
        <f>IFERROR(__xludf.DUMMYFUNCTION("""COMPUTED_VALUE"""),"09/06/2024")</f>
        <v>09/06/2024</v>
      </c>
      <c r="E26" s="34" t="str">
        <f>IFERROR(__xludf.DUMMYFUNCTION("""COMPUTED_VALUE"""),"004******90")</f>
        <v>004******90</v>
      </c>
      <c r="F26" s="34" t="str">
        <f>IFERROR(__xludf.DUMMYFUNCTION("""COMPUTED_VALUE"""),"INFANTIL 1")</f>
        <v>INFANTIL 1</v>
      </c>
      <c r="G26" s="65" t="str">
        <f>IFERROR(__xludf.DUMMYFUNCTION("""COMPUTED_VALUE"""),"CEMEI DR. PAULO MENDES")</f>
        <v>CEMEI DR. PAULO MENDES</v>
      </c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</row>
    <row r="27" ht="15.75" customHeight="1" spans="1:24">
      <c r="A27" s="62" t="str">
        <f>IFERROR(__xludf.DUMMYFUNCTION("""COMPUTED_VALUE"""),"27/03/2026 12:51:51")</f>
        <v>27/03/2026 12:51:51</v>
      </c>
      <c r="B27" s="63" t="str">
        <f>IFERROR(__xludf.DUMMYFUNCTION("""COMPUTED_VALUE"""),"2")</f>
        <v>2</v>
      </c>
      <c r="C27" s="34" t="str">
        <f>IFERROR(__xludf.DUMMYFUNCTION("""COMPUTED_VALUE"""),"O. B. D. S. L")</f>
        <v>O. B. D. S. L</v>
      </c>
      <c r="D27" s="64" t="str">
        <f>IFERROR(__xludf.DUMMYFUNCTION("""COMPUTED_VALUE"""),"13/11/2025")</f>
        <v>13/11/2025</v>
      </c>
      <c r="E27" s="34" t="str">
        <f>IFERROR(__xludf.DUMMYFUNCTION("""COMPUTED_VALUE"""),"022******00")</f>
        <v>022******00</v>
      </c>
      <c r="F27" s="34" t="str">
        <f>IFERROR(__xludf.DUMMYFUNCTION("""COMPUTED_VALUE"""),"INFANTIL 1")</f>
        <v>INFANTIL 1</v>
      </c>
      <c r="G27" s="65" t="str">
        <f>IFERROR(__xludf.DUMMYFUNCTION("""COMPUTED_VALUE"""),"CEMEI DR. PAULO MENDES")</f>
        <v>CEMEI DR. PAULO MENDES</v>
      </c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</row>
    <row r="28" ht="15.75" customHeight="1" spans="1:24">
      <c r="A28" s="62" t="str">
        <f>IFERROR(__xludf.DUMMYFUNCTION("""COMPUTED_VALUE"""),"21/05/2026 11:32:39")</f>
        <v>21/05/2026 11:32:39</v>
      </c>
      <c r="B28" s="63" t="str">
        <f>IFERROR(__xludf.DUMMYFUNCTION("""COMPUTED_VALUE"""),"3")</f>
        <v>3</v>
      </c>
      <c r="C28" s="34" t="str">
        <f>IFERROR(__xludf.DUMMYFUNCTION("""COMPUTED_VALUE"""),"K. H. D. A. S")</f>
        <v>K. H. D. A. S</v>
      </c>
      <c r="D28" s="64" t="str">
        <f>IFERROR(__xludf.DUMMYFUNCTION("""COMPUTED_VALUE"""),"01/04/2024")</f>
        <v>01/04/2024</v>
      </c>
      <c r="E28" s="34" t="str">
        <f>IFERROR(__xludf.DUMMYFUNCTION("""COMPUTED_VALUE"""),"002******69")</f>
        <v>002******69</v>
      </c>
      <c r="F28" s="34" t="str">
        <f>IFERROR(__xludf.DUMMYFUNCTION("""COMPUTED_VALUE"""),"INFANTIL 1")</f>
        <v>INFANTIL 1</v>
      </c>
      <c r="G28" s="65" t="str">
        <f>IFERROR(__xludf.DUMMYFUNCTION("""COMPUTED_VALUE"""),"CEMEI DR. PAULO MENDES")</f>
        <v>CEMEI DR. PAULO MENDES</v>
      </c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</row>
    <row r="29" ht="15.75" customHeight="1" spans="1:24">
      <c r="A29" s="62" t="str">
        <f>IFERROR(__xludf.DUMMYFUNCTION("""COMPUTED_VALUE"""),"22/05/2026 09:22:30")</f>
        <v>22/05/2026 09:22:30</v>
      </c>
      <c r="B29" s="63" t="str">
        <f>IFERROR(__xludf.DUMMYFUNCTION("""COMPUTED_VALUE"""),"4")</f>
        <v>4</v>
      </c>
      <c r="C29" s="34" t="str">
        <f>IFERROR(__xludf.DUMMYFUNCTION("""COMPUTED_VALUE"""),"A. E. M. d. S")</f>
        <v>A. E. M. d. S</v>
      </c>
      <c r="D29" s="64" t="str">
        <f>IFERROR(__xludf.DUMMYFUNCTION("""COMPUTED_VALUE"""),"27/07/2024")</f>
        <v>27/07/2024</v>
      </c>
      <c r="E29" s="34" t="str">
        <f>IFERROR(__xludf.DUMMYFUNCTION("""COMPUTED_VALUE"""),"003******46")</f>
        <v>003******46</v>
      </c>
      <c r="F29" s="34" t="str">
        <f>IFERROR(__xludf.DUMMYFUNCTION("""COMPUTED_VALUE"""),"INFANTIL 1")</f>
        <v>INFANTIL 1</v>
      </c>
      <c r="G29" s="65" t="str">
        <f>IFERROR(__xludf.DUMMYFUNCTION("""COMPUTED_VALUE"""),"CEMEI DR. PAULO MENDES")</f>
        <v>CEMEI DR. PAULO MENDES</v>
      </c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</row>
    <row r="30" ht="15.75" customHeight="1" spans="1:24">
      <c r="A30" s="62" t="str">
        <f>IFERROR(__xludf.DUMMYFUNCTION("""COMPUTED_VALUE"""),"11/05/2026 15:39:59")</f>
        <v>11/05/2026 15:39:59</v>
      </c>
      <c r="B30" s="63" t="str">
        <f>IFERROR(__xludf.DUMMYFUNCTION("""COMPUTED_VALUE"""),"1")</f>
        <v>1</v>
      </c>
      <c r="C30" s="34" t="str">
        <f>IFERROR(__xludf.DUMMYFUNCTION("""COMPUTED_VALUE"""),"J. L. A. S")</f>
        <v>J. L. A. S</v>
      </c>
      <c r="D30" s="64" t="str">
        <f>IFERROR(__xludf.DUMMYFUNCTION("""COMPUTED_VALUE"""),"01/04/2023")</f>
        <v>01/04/2023</v>
      </c>
      <c r="E30" s="34" t="str">
        <f>IFERROR(__xludf.DUMMYFUNCTION("""COMPUTED_VALUE"""),"185******95")</f>
        <v>185******95</v>
      </c>
      <c r="F30" s="34" t="str">
        <f>IFERROR(__xludf.DUMMYFUNCTION("""COMPUTED_VALUE"""),"INFANTIL 2")</f>
        <v>INFANTIL 2</v>
      </c>
      <c r="G30" s="65" t="str">
        <f>IFERROR(__xludf.DUMMYFUNCTION("""COMPUTED_VALUE"""),"CEMEI DR. PAULO MENDES")</f>
        <v>CEMEI DR. PAULO MENDES</v>
      </c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</row>
    <row r="31" ht="15.75" customHeight="1" spans="1:24">
      <c r="A31" s="62" t="str">
        <f>IFERROR(__xludf.DUMMYFUNCTION("""COMPUTED_VALUE"""),"05/03/2026 14:41:21")</f>
        <v>05/03/2026 14:41:21</v>
      </c>
      <c r="B31" s="63" t="str">
        <f>IFERROR(__xludf.DUMMYFUNCTION("""COMPUTED_VALUE"""),"1")</f>
        <v>1</v>
      </c>
      <c r="C31" s="34" t="str">
        <f>IFERROR(__xludf.DUMMYFUNCTION("""COMPUTED_VALUE"""),"I. L. G. D. S")</f>
        <v>I. L. G. D. S</v>
      </c>
      <c r="D31" s="64" t="str">
        <f>IFERROR(__xludf.DUMMYFUNCTION("""COMPUTED_VALUE"""),"04/03/2023")</f>
        <v>04/03/2023</v>
      </c>
      <c r="E31" s="34" t="str">
        <f>IFERROR(__xludf.DUMMYFUNCTION("""COMPUTED_VALUE"""),"184******23")</f>
        <v>184******23</v>
      </c>
      <c r="F31" s="34" t="str">
        <f>IFERROR(__xludf.DUMMYFUNCTION("""COMPUTED_VALUE"""),"INFANTIL 3")</f>
        <v>INFANTIL 3</v>
      </c>
      <c r="G31" s="65" t="str">
        <f>IFERROR(__xludf.DUMMYFUNCTION("""COMPUTED_VALUE"""),"CEMEI DR. PAULO MENDES")</f>
        <v>CEMEI DR. PAULO MENDES</v>
      </c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</row>
    <row r="32" ht="15.75" customHeight="1" spans="1:24">
      <c r="A32" s="62" t="str">
        <f>IFERROR(__xludf.DUMMYFUNCTION("""COMPUTED_VALUE"""),"15/05/2026 11:07:04")</f>
        <v>15/05/2026 11:07:04</v>
      </c>
      <c r="B32" s="63" t="str">
        <f>IFERROR(__xludf.DUMMYFUNCTION("""COMPUTED_VALUE"""),"2")</f>
        <v>2</v>
      </c>
      <c r="C32" s="34" t="str">
        <f>IFERROR(__xludf.DUMMYFUNCTION("""COMPUTED_VALUE"""),"A. M. D. B")</f>
        <v>A. M. D. B</v>
      </c>
      <c r="D32" s="64" t="str">
        <f>IFERROR(__xludf.DUMMYFUNCTION("""COMPUTED_VALUE"""),"04/08/2022")</f>
        <v>04/08/2022</v>
      </c>
      <c r="E32" s="34" t="str">
        <f>IFERROR(__xludf.DUMMYFUNCTION("""COMPUTED_VALUE"""),"182******30")</f>
        <v>182******30</v>
      </c>
      <c r="F32" s="34" t="str">
        <f>IFERROR(__xludf.DUMMYFUNCTION("""COMPUTED_VALUE"""),"INFANTIL 3")</f>
        <v>INFANTIL 3</v>
      </c>
      <c r="G32" s="65" t="str">
        <f>IFERROR(__xludf.DUMMYFUNCTION("""COMPUTED_VALUE"""),"CEMEI DR. PAULO MENDES")</f>
        <v>CEMEI DR. PAULO MENDES</v>
      </c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</row>
    <row r="33" ht="15.75" customHeight="1" spans="1:24">
      <c r="A33" s="62" t="str">
        <f>IFERROR(__xludf.DUMMYFUNCTION("""COMPUTED_VALUE"""),"18/05/2026 09:15:19")</f>
        <v>18/05/2026 09:15:19</v>
      </c>
      <c r="B33" s="63" t="str">
        <f>IFERROR(__xludf.DUMMYFUNCTION("""COMPUTED_VALUE"""),"3")</f>
        <v>3</v>
      </c>
      <c r="C33" s="34" t="str">
        <f>IFERROR(__xludf.DUMMYFUNCTION("""COMPUTED_VALUE"""),"H. V. S. D")</f>
        <v>H. V. S. D</v>
      </c>
      <c r="D33" s="64" t="str">
        <f>IFERROR(__xludf.DUMMYFUNCTION("""COMPUTED_VALUE"""),"11/01/2023")</f>
        <v>11/01/2023</v>
      </c>
      <c r="E33" s="34" t="str">
        <f>IFERROR(__xludf.DUMMYFUNCTION("""COMPUTED_VALUE"""),"184******20")</f>
        <v>184******20</v>
      </c>
      <c r="F33" s="34" t="str">
        <f>IFERROR(__xludf.DUMMYFUNCTION("""COMPUTED_VALUE"""),"INFANTIL 3")</f>
        <v>INFANTIL 3</v>
      </c>
      <c r="G33" s="65" t="str">
        <f>IFERROR(__xludf.DUMMYFUNCTION("""COMPUTED_VALUE"""),"CEMEI DR. PAULO MENDES")</f>
        <v>CEMEI DR. PAULO MENDES</v>
      </c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</row>
    <row r="34" ht="15.75" customHeight="1" spans="1:24">
      <c r="A34" s="62" t="str">
        <f>IFERROR(__xludf.DUMMYFUNCTION("""COMPUTED_VALUE"""),"06/02/2026 09:17:41")</f>
        <v>06/02/2026 09:17:41</v>
      </c>
      <c r="B34" s="63" t="str">
        <f>IFERROR(__xludf.DUMMYFUNCTION("""COMPUTED_VALUE"""),"1")</f>
        <v>1</v>
      </c>
      <c r="C34" s="34" t="str">
        <f>IFERROR(__xludf.DUMMYFUNCTION("""COMPUTED_VALUE"""),"J. V. C. C")</f>
        <v>J. V. C. C</v>
      </c>
      <c r="D34" s="64" t="str">
        <f>IFERROR(__xludf.DUMMYFUNCTION("""COMPUTED_VALUE"""),"26/03/2023")</f>
        <v>26/03/2023</v>
      </c>
      <c r="E34" s="34" t="str">
        <f>IFERROR(__xludf.DUMMYFUNCTION("""COMPUTED_VALUE"""),"184******42")</f>
        <v>184******42</v>
      </c>
      <c r="F34" s="34" t="str">
        <f>IFERROR(__xludf.DUMMYFUNCTION("""COMPUTED_VALUE"""),"INFANTIL 3")</f>
        <v>INFANTIL 3</v>
      </c>
      <c r="G34" s="65" t="str">
        <f>IFERROR(__xludf.DUMMYFUNCTION("""COMPUTED_VALUE"""),"CEMEI ELIEL EUSTAQUIO DA SILVA")</f>
        <v>CEMEI ELIEL EUSTAQUIO DA SILVA</v>
      </c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</row>
    <row r="35" ht="15.75" customHeight="1" spans="1:24">
      <c r="A35" s="62" t="str">
        <f>IFERROR(__xludf.DUMMYFUNCTION("""COMPUTED_VALUE"""),"04/05/2026 08:16:17")</f>
        <v>04/05/2026 08:16:17</v>
      </c>
      <c r="B35" s="63" t="str">
        <f>IFERROR(__xludf.DUMMYFUNCTION("""COMPUTED_VALUE"""),"2")</f>
        <v>2</v>
      </c>
      <c r="C35" s="34" t="str">
        <f>IFERROR(__xludf.DUMMYFUNCTION("""COMPUTED_VALUE"""),"A. A. D. P. S")</f>
        <v>A. A. D. P. S</v>
      </c>
      <c r="D35" s="64" t="str">
        <f>IFERROR(__xludf.DUMMYFUNCTION("""COMPUTED_VALUE"""),"24/12/2022")</f>
        <v>24/12/2022</v>
      </c>
      <c r="E35" s="34" t="str">
        <f>IFERROR(__xludf.DUMMYFUNCTION("""COMPUTED_VALUE"""),"183******09")</f>
        <v>183******09</v>
      </c>
      <c r="F35" s="34" t="str">
        <f>IFERROR(__xludf.DUMMYFUNCTION("""COMPUTED_VALUE"""),"INFANTIL 3")</f>
        <v>INFANTIL 3</v>
      </c>
      <c r="G35" s="65" t="str">
        <f>IFERROR(__xludf.DUMMYFUNCTION("""COMPUTED_VALUE"""),"CEMEI ELIEL EUSTAQUIO DA SILVA")</f>
        <v>CEMEI ELIEL EUSTAQUIO DA SILVA</v>
      </c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</row>
    <row r="36" ht="15.75" customHeight="1" spans="1:24">
      <c r="A36" s="62" t="str">
        <f>IFERROR(__xludf.DUMMYFUNCTION("""COMPUTED_VALUE"""),"28/01/2026 16:24:17")</f>
        <v>28/01/2026 16:24:17</v>
      </c>
      <c r="B36" s="63" t="str">
        <f>IFERROR(__xludf.DUMMYFUNCTION("""COMPUTED_VALUE"""),"1")</f>
        <v>1</v>
      </c>
      <c r="C36" s="34" t="str">
        <f>IFERROR(__xludf.DUMMYFUNCTION("""COMPUTED_VALUE"""),"D. A. D. S. S")</f>
        <v>D. A. D. S. S</v>
      </c>
      <c r="D36" s="64" t="str">
        <f>IFERROR(__xludf.DUMMYFUNCTION("""COMPUTED_VALUE"""),"31/07/2024")</f>
        <v>31/07/2024</v>
      </c>
      <c r="E36" s="34" t="str">
        <f>IFERROR(__xludf.DUMMYFUNCTION("""COMPUTED_VALUE"""),"003******09")</f>
        <v>003******09</v>
      </c>
      <c r="F36" s="34" t="str">
        <f>IFERROR(__xludf.DUMMYFUNCTION("""COMPUTED_VALUE"""),"INFANTIL 1")</f>
        <v>INFANTIL 1</v>
      </c>
      <c r="G36" s="65" t="str">
        <f>IFERROR(__xludf.DUMMYFUNCTION("""COMPUTED_VALUE"""),"CEMEI PROFESSORA CIBELE DE ANDRADE MENDES DE AZEVEDO")</f>
        <v>CEMEI PROFESSORA CIBELE DE ANDRADE MENDES DE AZEVEDO</v>
      </c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</row>
    <row r="37" ht="15.75" customHeight="1" spans="1:24">
      <c r="A37" s="34" t="str">
        <f>IFERROR(__xludf.DUMMYFUNCTION("""COMPUTED_VALUE"""),"02/02/2026 09:13:57")</f>
        <v>02/02/2026 09:13:57</v>
      </c>
      <c r="B37" s="63" t="str">
        <f>IFERROR(__xludf.DUMMYFUNCTION("""COMPUTED_VALUE"""),"2")</f>
        <v>2</v>
      </c>
      <c r="C37" s="34" t="str">
        <f>IFERROR(__xludf.DUMMYFUNCTION("""COMPUTED_VALUE"""),"Í. P. S. R")</f>
        <v>Í. P. S. R</v>
      </c>
      <c r="D37" s="34" t="str">
        <f>IFERROR(__xludf.DUMMYFUNCTION("""COMPUTED_VALUE"""),"17/01/2026")</f>
        <v>17/01/2026</v>
      </c>
      <c r="E37" s="34" t="str">
        <f>IFERROR(__xludf.DUMMYFUNCTION("""COMPUTED_VALUE"""),"041******53")</f>
        <v>041******53</v>
      </c>
      <c r="F37" s="34" t="str">
        <f>IFERROR(__xludf.DUMMYFUNCTION("""COMPUTED_VALUE"""),"INFANTIL 1")</f>
        <v>INFANTIL 1</v>
      </c>
      <c r="G37" s="65" t="str">
        <f>IFERROR(__xludf.DUMMYFUNCTION("""COMPUTED_VALUE"""),"CEMEI PROFESSORA CIBELE DE ANDRADE MENDES DE AZEVEDO")</f>
        <v>CEMEI PROFESSORA CIBELE DE ANDRADE MENDES DE AZEVEDO</v>
      </c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</row>
    <row r="38" ht="15.75" customHeight="1" spans="1:24">
      <c r="A38" s="34" t="str">
        <f>IFERROR(__xludf.DUMMYFUNCTION("""COMPUTED_VALUE"""),"04/02/2026 08:52:54")</f>
        <v>04/02/2026 08:52:54</v>
      </c>
      <c r="B38" s="63" t="str">
        <f>IFERROR(__xludf.DUMMYFUNCTION("""COMPUTED_VALUE"""),"3")</f>
        <v>3</v>
      </c>
      <c r="C38" s="34" t="str">
        <f>IFERROR(__xludf.DUMMYFUNCTION("""COMPUTED_VALUE"""),"R. J. D. S")</f>
        <v>R. J. D. S</v>
      </c>
      <c r="D38" s="34" t="str">
        <f>IFERROR(__xludf.DUMMYFUNCTION("""COMPUTED_VALUE"""),"18/04/2024")</f>
        <v>18/04/2024</v>
      </c>
      <c r="E38" s="34" t="str">
        <f>IFERROR(__xludf.DUMMYFUNCTION("""COMPUTED_VALUE"""),"003******54")</f>
        <v>003******54</v>
      </c>
      <c r="F38" s="34" t="str">
        <f>IFERROR(__xludf.DUMMYFUNCTION("""COMPUTED_VALUE"""),"INFANTIL 1")</f>
        <v>INFANTIL 1</v>
      </c>
      <c r="G38" s="65" t="str">
        <f>IFERROR(__xludf.DUMMYFUNCTION("""COMPUTED_VALUE"""),"CEMEI PROFESSORA CIBELE DE ANDRADE MENDES DE AZEVEDO")</f>
        <v>CEMEI PROFESSORA CIBELE DE ANDRADE MENDES DE AZEVEDO</v>
      </c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</row>
    <row r="39" ht="15.75" customHeight="1" spans="1:24">
      <c r="A39" s="34" t="str">
        <f>IFERROR(__xludf.DUMMYFUNCTION("""COMPUTED_VALUE"""),"05/02/2026 12:22:17")</f>
        <v>05/02/2026 12:22:17</v>
      </c>
      <c r="B39" s="63" t="str">
        <f>IFERROR(__xludf.DUMMYFUNCTION("""COMPUTED_VALUE"""),"4")</f>
        <v>4</v>
      </c>
      <c r="C39" s="34" t="str">
        <f>IFERROR(__xludf.DUMMYFUNCTION("""COMPUTED_VALUE"""),"E. J. N. D. S")</f>
        <v>E. J. N. D. S</v>
      </c>
      <c r="D39" s="34" t="str">
        <f>IFERROR(__xludf.DUMMYFUNCTION("""COMPUTED_VALUE"""),"12/08/2024")</f>
        <v>12/08/2024</v>
      </c>
      <c r="E39" s="34" t="str">
        <f>IFERROR(__xludf.DUMMYFUNCTION("""COMPUTED_VALUE"""),"003******75")</f>
        <v>003******75</v>
      </c>
      <c r="F39" s="34" t="str">
        <f>IFERROR(__xludf.DUMMYFUNCTION("""COMPUTED_VALUE"""),"INFANTIL 1")</f>
        <v>INFANTIL 1</v>
      </c>
      <c r="G39" s="65" t="str">
        <f>IFERROR(__xludf.DUMMYFUNCTION("""COMPUTED_VALUE"""),"CEMEI PROFESSORA CIBELE DE ANDRADE MENDES DE AZEVEDO")</f>
        <v>CEMEI PROFESSORA CIBELE DE ANDRADE MENDES DE AZEVEDO</v>
      </c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</row>
    <row r="40" ht="15.75" customHeight="1" spans="1:24">
      <c r="A40" s="34" t="str">
        <f>IFERROR(__xludf.DUMMYFUNCTION("""COMPUTED_VALUE"""),"05/02/2026 13:29:32")</f>
        <v>05/02/2026 13:29:32</v>
      </c>
      <c r="B40" s="63" t="str">
        <f>IFERROR(__xludf.DUMMYFUNCTION("""COMPUTED_VALUE"""),"5")</f>
        <v>5</v>
      </c>
      <c r="C40" s="34" t="str">
        <f>IFERROR(__xludf.DUMMYFUNCTION("""COMPUTED_VALUE"""),"O. L. D. A")</f>
        <v>O. L. D. A</v>
      </c>
      <c r="D40" s="34" t="str">
        <f>IFERROR(__xludf.DUMMYFUNCTION("""COMPUTED_VALUE"""),"16/05/2024")</f>
        <v>16/05/2024</v>
      </c>
      <c r="E40" s="34" t="str">
        <f>IFERROR(__xludf.DUMMYFUNCTION("""COMPUTED_VALUE"""),"002******90")</f>
        <v>002******90</v>
      </c>
      <c r="F40" s="34" t="str">
        <f>IFERROR(__xludf.DUMMYFUNCTION("""COMPUTED_VALUE"""),"INFANTIL 1")</f>
        <v>INFANTIL 1</v>
      </c>
      <c r="G40" s="65" t="str">
        <f>IFERROR(__xludf.DUMMYFUNCTION("""COMPUTED_VALUE"""),"CEMEI PROFESSORA CIBELE DE ANDRADE MENDES DE AZEVEDO")</f>
        <v>CEMEI PROFESSORA CIBELE DE ANDRADE MENDES DE AZEVEDO</v>
      </c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</row>
    <row r="41" ht="15.75" customHeight="1" spans="1:24">
      <c r="A41" s="34" t="str">
        <f>IFERROR(__xludf.DUMMYFUNCTION("""COMPUTED_VALUE"""),"05/02/2026 15:38:24")</f>
        <v>05/02/2026 15:38:24</v>
      </c>
      <c r="B41" s="63" t="str">
        <f>IFERROR(__xludf.DUMMYFUNCTION("""COMPUTED_VALUE"""),"6")</f>
        <v>6</v>
      </c>
      <c r="C41" s="34" t="str">
        <f>IFERROR(__xludf.DUMMYFUNCTION("""COMPUTED_VALUE"""),"T. E. R. D. B")</f>
        <v>T. E. R. D. B</v>
      </c>
      <c r="D41" s="34" t="str">
        <f>IFERROR(__xludf.DUMMYFUNCTION("""COMPUTED_VALUE"""),"19/05/2024")</f>
        <v>19/05/2024</v>
      </c>
      <c r="E41" s="34" t="str">
        <f>IFERROR(__xludf.DUMMYFUNCTION("""COMPUTED_VALUE"""),"003******75")</f>
        <v>003******75</v>
      </c>
      <c r="F41" s="34" t="str">
        <f>IFERROR(__xludf.DUMMYFUNCTION("""COMPUTED_VALUE"""),"INFANTIL 1")</f>
        <v>INFANTIL 1</v>
      </c>
      <c r="G41" s="65" t="str">
        <f>IFERROR(__xludf.DUMMYFUNCTION("""COMPUTED_VALUE"""),"CEMEI PROFESSORA CIBELE DE ANDRADE MENDES DE AZEVEDO")</f>
        <v>CEMEI PROFESSORA CIBELE DE ANDRADE MENDES DE AZEVEDO</v>
      </c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</row>
    <row r="42" ht="15.75" customHeight="1" spans="1:24">
      <c r="A42" s="34" t="str">
        <f>IFERROR(__xludf.DUMMYFUNCTION("""COMPUTED_VALUE"""),"05/02/2026 20:35:45")</f>
        <v>05/02/2026 20:35:45</v>
      </c>
      <c r="B42" s="63" t="str">
        <f>IFERROR(__xludf.DUMMYFUNCTION("""COMPUTED_VALUE"""),"7")</f>
        <v>7</v>
      </c>
      <c r="C42" s="34" t="str">
        <f>IFERROR(__xludf.DUMMYFUNCTION("""COMPUTED_VALUE"""),"Y. B. D. S. A")</f>
        <v>Y. B. D. S. A</v>
      </c>
      <c r="D42" s="34" t="str">
        <f>IFERROR(__xludf.DUMMYFUNCTION("""COMPUTED_VALUE"""),"14/03/2025")</f>
        <v>14/03/2025</v>
      </c>
      <c r="E42" s="34" t="str">
        <f>IFERROR(__xludf.DUMMYFUNCTION("""COMPUTED_VALUE"""),"005******33")</f>
        <v>005******33</v>
      </c>
      <c r="F42" s="34" t="str">
        <f>IFERROR(__xludf.DUMMYFUNCTION("""COMPUTED_VALUE"""),"INFANTIL 1")</f>
        <v>INFANTIL 1</v>
      </c>
      <c r="G42" s="65" t="str">
        <f>IFERROR(__xludf.DUMMYFUNCTION("""COMPUTED_VALUE"""),"CEMEI PROFESSORA CIBELE DE ANDRADE MENDES DE AZEVEDO")</f>
        <v>CEMEI PROFESSORA CIBELE DE ANDRADE MENDES DE AZEVEDO</v>
      </c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</row>
    <row r="43" ht="15.75" customHeight="1" spans="1:24">
      <c r="A43" s="34" t="str">
        <f>IFERROR(__xludf.DUMMYFUNCTION("""COMPUTED_VALUE"""),"23/02/2026 14:03:33")</f>
        <v>23/02/2026 14:03:33</v>
      </c>
      <c r="B43" s="63" t="str">
        <f>IFERROR(__xludf.DUMMYFUNCTION("""COMPUTED_VALUE"""),"8")</f>
        <v>8</v>
      </c>
      <c r="C43" s="34" t="str">
        <f>IFERROR(__xludf.DUMMYFUNCTION("""COMPUTED_VALUE"""),"E. S. D. S")</f>
        <v>E. S. D. S</v>
      </c>
      <c r="D43" s="34" t="str">
        <f>IFERROR(__xludf.DUMMYFUNCTION("""COMPUTED_VALUE"""),"10/04/2024")</f>
        <v>10/04/2024</v>
      </c>
      <c r="E43" s="34" t="str">
        <f>IFERROR(__xludf.DUMMYFUNCTION("""COMPUTED_VALUE"""),"002******63")</f>
        <v>002******63</v>
      </c>
      <c r="F43" s="34" t="str">
        <f>IFERROR(__xludf.DUMMYFUNCTION("""COMPUTED_VALUE"""),"INFANTIL 1")</f>
        <v>INFANTIL 1</v>
      </c>
      <c r="G43" s="65" t="str">
        <f>IFERROR(__xludf.DUMMYFUNCTION("""COMPUTED_VALUE"""),"CEMEI PROFESSORA CIBELE DE ANDRADE MENDES DE AZEVEDO")</f>
        <v>CEMEI PROFESSORA CIBELE DE ANDRADE MENDES DE AZEVEDO</v>
      </c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</row>
    <row r="44" ht="15.75" customHeight="1" spans="1:24">
      <c r="A44" s="34" t="str">
        <f>IFERROR(__xludf.DUMMYFUNCTION("""COMPUTED_VALUE"""),"16/03/2026 10:09:54")</f>
        <v>16/03/2026 10:09:54</v>
      </c>
      <c r="B44" s="63" t="str">
        <f>IFERROR(__xludf.DUMMYFUNCTION("""COMPUTED_VALUE"""),"9")</f>
        <v>9</v>
      </c>
      <c r="C44" s="34" t="str">
        <f>IFERROR(__xludf.DUMMYFUNCTION("""COMPUTED_VALUE"""),"H. M. C. M. T")</f>
        <v>H. M. C. M. T</v>
      </c>
      <c r="D44" s="34" t="str">
        <f>IFERROR(__xludf.DUMMYFUNCTION("""COMPUTED_VALUE"""),"15/04/2024")</f>
        <v>15/04/2024</v>
      </c>
      <c r="E44" s="34" t="str">
        <f>IFERROR(__xludf.DUMMYFUNCTION("""COMPUTED_VALUE"""),"002******57")</f>
        <v>002******57</v>
      </c>
      <c r="F44" s="34" t="str">
        <f>IFERROR(__xludf.DUMMYFUNCTION("""COMPUTED_VALUE"""),"INFANTIL 1")</f>
        <v>INFANTIL 1</v>
      </c>
      <c r="G44" s="65" t="str">
        <f>IFERROR(__xludf.DUMMYFUNCTION("""COMPUTED_VALUE"""),"CEMEI PROFESSORA CIBELE DE ANDRADE MENDES DE AZEVEDO")</f>
        <v>CEMEI PROFESSORA CIBELE DE ANDRADE MENDES DE AZEVEDO</v>
      </c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</row>
    <row r="45" ht="15.75" customHeight="1" spans="1:24">
      <c r="A45" s="34" t="str">
        <f>IFERROR(__xludf.DUMMYFUNCTION("""COMPUTED_VALUE"""),"18/03/2026 12:28:10")</f>
        <v>18/03/2026 12:28:10</v>
      </c>
      <c r="B45" s="63" t="str">
        <f>IFERROR(__xludf.DUMMYFUNCTION("""COMPUTED_VALUE"""),"10")</f>
        <v>10</v>
      </c>
      <c r="C45" s="34" t="str">
        <f>IFERROR(__xludf.DUMMYFUNCTION("""COMPUTED_VALUE"""),"L. E. S. D. S")</f>
        <v>L. E. S. D. S</v>
      </c>
      <c r="D45" s="34" t="str">
        <f>IFERROR(__xludf.DUMMYFUNCTION("""COMPUTED_VALUE"""),"19/01/2026")</f>
        <v>19/01/2026</v>
      </c>
      <c r="E45" s="34" t="str">
        <f>IFERROR(__xludf.DUMMYFUNCTION("""COMPUTED_VALUE"""),"045******34")</f>
        <v>045******34</v>
      </c>
      <c r="F45" s="34" t="str">
        <f>IFERROR(__xludf.DUMMYFUNCTION("""COMPUTED_VALUE"""),"INFANTIL 1")</f>
        <v>INFANTIL 1</v>
      </c>
      <c r="G45" s="34" t="str">
        <f>IFERROR(__xludf.DUMMYFUNCTION("""COMPUTED_VALUE"""),"CEMEI PROFESSORA CIBELE DE ANDRADE MENDES DE AZEVEDO")</f>
        <v>CEMEI PROFESSORA CIBELE DE ANDRADE MENDES DE AZEVEDO</v>
      </c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</row>
    <row r="46" ht="15.75" customHeight="1" spans="1:24">
      <c r="A46" s="34" t="str">
        <f>IFERROR(__xludf.DUMMYFUNCTION("""COMPUTED_VALUE"""),"26/03/2026 18:22:32")</f>
        <v>26/03/2026 18:22:32</v>
      </c>
      <c r="B46" s="63" t="str">
        <f>IFERROR(__xludf.DUMMYFUNCTION("""COMPUTED_VALUE"""),"11")</f>
        <v>11</v>
      </c>
      <c r="C46" s="34" t="str">
        <f>IFERROR(__xludf.DUMMYFUNCTION("""COMPUTED_VALUE"""),"A. M. A. D. B")</f>
        <v>A. M. A. D. B</v>
      </c>
      <c r="D46" s="34" t="str">
        <f>IFERROR(__xludf.DUMMYFUNCTION("""COMPUTED_VALUE"""),"20/11/2024")</f>
        <v>20/11/2024</v>
      </c>
      <c r="E46" s="34" t="str">
        <f>IFERROR(__xludf.DUMMYFUNCTION("""COMPUTED_VALUE"""),"004******56")</f>
        <v>004******56</v>
      </c>
      <c r="F46" s="34" t="str">
        <f>IFERROR(__xludf.DUMMYFUNCTION("""COMPUTED_VALUE"""),"INFANTIL 1")</f>
        <v>INFANTIL 1</v>
      </c>
      <c r="G46" s="34" t="str">
        <f>IFERROR(__xludf.DUMMYFUNCTION("""COMPUTED_VALUE"""),"CEMEI PROFESSORA CIBELE DE ANDRADE MENDES DE AZEVEDO")</f>
        <v>CEMEI PROFESSORA CIBELE DE ANDRADE MENDES DE AZEVEDO</v>
      </c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</row>
    <row r="47" ht="15.75" customHeight="1" spans="1:24">
      <c r="A47" s="34" t="str">
        <f>IFERROR(__xludf.DUMMYFUNCTION("""COMPUTED_VALUE"""),"29/04/2026 15:44:18")</f>
        <v>29/04/2026 15:44:18</v>
      </c>
      <c r="B47" s="63" t="str">
        <f>IFERROR(__xludf.DUMMYFUNCTION("""COMPUTED_VALUE"""),"12")</f>
        <v>12</v>
      </c>
      <c r="C47" s="34" t="str">
        <f>IFERROR(__xludf.DUMMYFUNCTION("""COMPUTED_VALUE"""),"A. S. C. D. L")</f>
        <v>A. S. C. D. L</v>
      </c>
      <c r="D47" s="34" t="str">
        <f>IFERROR(__xludf.DUMMYFUNCTION("""COMPUTED_VALUE"""),"06/05/2025")</f>
        <v>06/05/2025</v>
      </c>
      <c r="E47" s="34" t="str">
        <f>IFERROR(__xludf.DUMMYFUNCTION("""COMPUTED_VALUE"""),"006******16")</f>
        <v>006******16</v>
      </c>
      <c r="F47" s="34" t="str">
        <f>IFERROR(__xludf.DUMMYFUNCTION("""COMPUTED_VALUE"""),"INFANTIL 1")</f>
        <v>INFANTIL 1</v>
      </c>
      <c r="G47" s="34" t="str">
        <f>IFERROR(__xludf.DUMMYFUNCTION("""COMPUTED_VALUE"""),"CEMEI PROFESSORA CIBELE DE ANDRADE MENDES DE AZEVEDO")</f>
        <v>CEMEI PROFESSORA CIBELE DE ANDRADE MENDES DE AZEVEDO</v>
      </c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</row>
    <row r="48" ht="15.75" customHeight="1" spans="1:24">
      <c r="A48" s="34" t="str">
        <f>IFERROR(__xludf.DUMMYFUNCTION("""COMPUTED_VALUE"""),"19/05/2026 10:34:49")</f>
        <v>19/05/2026 10:34:49</v>
      </c>
      <c r="B48" s="63" t="str">
        <f>IFERROR(__xludf.DUMMYFUNCTION("""COMPUTED_VALUE"""),"13")</f>
        <v>13</v>
      </c>
      <c r="C48" s="34" t="str">
        <f>IFERROR(__xludf.DUMMYFUNCTION("""COMPUTED_VALUE"""),"H. C. C")</f>
        <v>H. C. C</v>
      </c>
      <c r="D48" s="34" t="str">
        <f>IFERROR(__xludf.DUMMYFUNCTION("""COMPUTED_VALUE"""),"25/10/2025")</f>
        <v>25/10/2025</v>
      </c>
      <c r="E48" s="34" t="str">
        <f>IFERROR(__xludf.DUMMYFUNCTION("""COMPUTED_VALUE"""),"017******72")</f>
        <v>017******72</v>
      </c>
      <c r="F48" s="34" t="str">
        <f>IFERROR(__xludf.DUMMYFUNCTION("""COMPUTED_VALUE"""),"INFANTIL 1")</f>
        <v>INFANTIL 1</v>
      </c>
      <c r="G48" s="34" t="str">
        <f>IFERROR(__xludf.DUMMYFUNCTION("""COMPUTED_VALUE"""),"CEMEI PROFESSORA CIBELE DE ANDRADE MENDES DE AZEVEDO")</f>
        <v>CEMEI PROFESSORA CIBELE DE ANDRADE MENDES DE AZEVEDO</v>
      </c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</row>
    <row r="49" ht="15.75" customHeight="1" spans="1:24">
      <c r="A49" s="34" t="str">
        <f>IFERROR(__xludf.DUMMYFUNCTION("""COMPUTED_VALUE"""),"25/05/2026 18:01:52")</f>
        <v>25/05/2026 18:01:52</v>
      </c>
      <c r="B49" s="63" t="str">
        <f>IFERROR(__xludf.DUMMYFUNCTION("""COMPUTED_VALUE"""),"14")</f>
        <v>14</v>
      </c>
      <c r="C49" s="34" t="str">
        <f>IFERROR(__xludf.DUMMYFUNCTION("""COMPUTED_VALUE"""),"N. U. A. d. S")</f>
        <v>N. U. A. d. S</v>
      </c>
      <c r="D49" s="34" t="str">
        <f>IFERROR(__xludf.DUMMYFUNCTION("""COMPUTED_VALUE"""),"15/04/2025")</f>
        <v>15/04/2025</v>
      </c>
      <c r="E49" s="34" t="str">
        <f>IFERROR(__xludf.DUMMYFUNCTION("""COMPUTED_VALUE"""),"005******36")</f>
        <v>005******36</v>
      </c>
      <c r="F49" s="34" t="str">
        <f>IFERROR(__xludf.DUMMYFUNCTION("""COMPUTED_VALUE"""),"INFANTIL 1")</f>
        <v>INFANTIL 1</v>
      </c>
      <c r="G49" s="34" t="str">
        <f>IFERROR(__xludf.DUMMYFUNCTION("""COMPUTED_VALUE"""),"CEMEI PROFESSORA CIBELE DE ANDRADE MENDES DE AZEVEDO")</f>
        <v>CEMEI PROFESSORA CIBELE DE ANDRADE MENDES DE AZEVEDO</v>
      </c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</row>
    <row r="50" ht="15.75" customHeight="1" spans="1:24">
      <c r="A50" s="34" t="str">
        <f>IFERROR(__xludf.DUMMYFUNCTION("""COMPUTED_VALUE"""),"10/03/2026 12:16:11")</f>
        <v>10/03/2026 12:16:11</v>
      </c>
      <c r="B50" s="63" t="str">
        <f>IFERROR(__xludf.DUMMYFUNCTION("""COMPUTED_VALUE"""),"1")</f>
        <v>1</v>
      </c>
      <c r="C50" s="34" t="str">
        <f>IFERROR(__xludf.DUMMYFUNCTION("""COMPUTED_VALUE"""),"M. V. C. D. L")</f>
        <v>M. V. C. D. L</v>
      </c>
      <c r="D50" s="34" t="str">
        <f>IFERROR(__xludf.DUMMYFUNCTION("""COMPUTED_VALUE"""),"17/01/2024")</f>
        <v>17/01/2024</v>
      </c>
      <c r="E50" s="34" t="str">
        <f>IFERROR(__xludf.DUMMYFUNCTION("""COMPUTED_VALUE"""),"001******86")</f>
        <v>001******86</v>
      </c>
      <c r="F50" s="34" t="str">
        <f>IFERROR(__xludf.DUMMYFUNCTION("""COMPUTED_VALUE"""),"INFANTIL 2")</f>
        <v>INFANTIL 2</v>
      </c>
      <c r="G50" s="34" t="str">
        <f>IFERROR(__xludf.DUMMYFUNCTION("""COMPUTED_VALUE"""),"CEMEI PROFESSORA CIBELE DE ANDRADE MENDES DE AZEVEDO")</f>
        <v>CEMEI PROFESSORA CIBELE DE ANDRADE MENDES DE AZEVEDO</v>
      </c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</row>
    <row r="51" ht="15.75" customHeight="1" spans="1:24">
      <c r="A51" s="34" t="str">
        <f>IFERROR(__xludf.DUMMYFUNCTION("""COMPUTED_VALUE"""),"17/03/2026 09:54:44")</f>
        <v>17/03/2026 09:54:44</v>
      </c>
      <c r="B51" s="63" t="str">
        <f>IFERROR(__xludf.DUMMYFUNCTION("""COMPUTED_VALUE"""),"2")</f>
        <v>2</v>
      </c>
      <c r="C51" s="34" t="str">
        <f>IFERROR(__xludf.DUMMYFUNCTION("""COMPUTED_VALUE"""),"E. S. S. D. S")</f>
        <v>E. S. S. D. S</v>
      </c>
      <c r="D51" s="34" t="str">
        <f>IFERROR(__xludf.DUMMYFUNCTION("""COMPUTED_VALUE"""),"03/01/2024")</f>
        <v>03/01/2024</v>
      </c>
      <c r="E51" s="34" t="str">
        <f>IFERROR(__xludf.DUMMYFUNCTION("""COMPUTED_VALUE"""),"001******28")</f>
        <v>001******28</v>
      </c>
      <c r="F51" s="34" t="str">
        <f>IFERROR(__xludf.DUMMYFUNCTION("""COMPUTED_VALUE"""),"INFANTIL 2")</f>
        <v>INFANTIL 2</v>
      </c>
      <c r="G51" s="34" t="str">
        <f>IFERROR(__xludf.DUMMYFUNCTION("""COMPUTED_VALUE"""),"CEMEI PROFESSORA CIBELE DE ANDRADE MENDES DE AZEVEDO")</f>
        <v>CEMEI PROFESSORA CIBELE DE ANDRADE MENDES DE AZEVEDO</v>
      </c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</row>
    <row r="52" ht="15.75" customHeight="1" spans="1:24">
      <c r="A52" s="34" t="str">
        <f>IFERROR(__xludf.DUMMYFUNCTION("""COMPUTED_VALUE"""),"05/05/2026 11:36:38")</f>
        <v>05/05/2026 11:36:38</v>
      </c>
      <c r="B52" s="63" t="str">
        <f>IFERROR(__xludf.DUMMYFUNCTION("""COMPUTED_VALUE"""),"3")</f>
        <v>3</v>
      </c>
      <c r="C52" s="34" t="str">
        <f>IFERROR(__xludf.DUMMYFUNCTION("""COMPUTED_VALUE"""),"L. M. G. A")</f>
        <v>L. M. G. A</v>
      </c>
      <c r="D52" s="34" t="str">
        <f>IFERROR(__xludf.DUMMYFUNCTION("""COMPUTED_VALUE"""),"08/01/2024")</f>
        <v>08/01/2024</v>
      </c>
      <c r="E52" s="34" t="str">
        <f>IFERROR(__xludf.DUMMYFUNCTION("""COMPUTED_VALUE"""),"001******55")</f>
        <v>001******55</v>
      </c>
      <c r="F52" s="34" t="str">
        <f>IFERROR(__xludf.DUMMYFUNCTION("""COMPUTED_VALUE"""),"INFANTIL 2")</f>
        <v>INFANTIL 2</v>
      </c>
      <c r="G52" s="34" t="str">
        <f>IFERROR(__xludf.DUMMYFUNCTION("""COMPUTED_VALUE"""),"CEMEI PROFESSORA CIBELE DE ANDRADE MENDES DE AZEVEDO")</f>
        <v>CEMEI PROFESSORA CIBELE DE ANDRADE MENDES DE AZEVEDO</v>
      </c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</row>
    <row r="53" ht="15.75" customHeight="1" spans="1:24">
      <c r="A53" s="34" t="str">
        <f>IFERROR(__xludf.DUMMYFUNCTION("""COMPUTED_VALUE"""),"25/05/2026 18:09:35")</f>
        <v>25/05/2026 18:09:35</v>
      </c>
      <c r="B53" s="63" t="str">
        <f>IFERROR(__xludf.DUMMYFUNCTION("""COMPUTED_VALUE"""),"4")</f>
        <v>4</v>
      </c>
      <c r="C53" s="34" t="str">
        <f>IFERROR(__xludf.DUMMYFUNCTION("""COMPUTED_VALUE"""),"A. G. A. T. d. s")</f>
        <v>A. G. A. T. d. s</v>
      </c>
      <c r="D53" s="34" t="str">
        <f>IFERROR(__xludf.DUMMYFUNCTION("""COMPUTED_VALUE"""),"29/02/2024")</f>
        <v>29/02/2024</v>
      </c>
      <c r="E53" s="34" t="str">
        <f>IFERROR(__xludf.DUMMYFUNCTION("""COMPUTED_VALUE"""),"002******20")</f>
        <v>002******20</v>
      </c>
      <c r="F53" s="34" t="str">
        <f>IFERROR(__xludf.DUMMYFUNCTION("""COMPUTED_VALUE"""),"INFANTIL 2")</f>
        <v>INFANTIL 2</v>
      </c>
      <c r="G53" s="34" t="str">
        <f>IFERROR(__xludf.DUMMYFUNCTION("""COMPUTED_VALUE"""),"CEMEI PROFESSORA CIBELE DE ANDRADE MENDES DE AZEVEDO")</f>
        <v>CEMEI PROFESSORA CIBELE DE ANDRADE MENDES DE AZEVEDO</v>
      </c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</row>
    <row r="54" ht="15.75" customHeight="1" spans="1:24">
      <c r="A54" s="34" t="str">
        <f>IFERROR(__xludf.DUMMYFUNCTION("""COMPUTED_VALUE"""),"09/03/2026 13:36:35")</f>
        <v>09/03/2026 13:36:35</v>
      </c>
      <c r="B54" s="63" t="str">
        <f>IFERROR(__xludf.DUMMYFUNCTION("""COMPUTED_VALUE"""),"1")</f>
        <v>1</v>
      </c>
      <c r="C54" s="34" t="str">
        <f>IFERROR(__xludf.DUMMYFUNCTION("""COMPUTED_VALUE"""),"B. M")</f>
        <v>B. M</v>
      </c>
      <c r="D54" s="34" t="str">
        <f>IFERROR(__xludf.DUMMYFUNCTION("""COMPUTED_VALUE"""),"07/02/2023")</f>
        <v>07/02/2023</v>
      </c>
      <c r="E54" s="34" t="str">
        <f>IFERROR(__xludf.DUMMYFUNCTION("""COMPUTED_VALUE"""),"006******11")</f>
        <v>006******11</v>
      </c>
      <c r="F54" s="34" t="str">
        <f>IFERROR(__xludf.DUMMYFUNCTION("""COMPUTED_VALUE"""),"INFANTIL 3")</f>
        <v>INFANTIL 3</v>
      </c>
      <c r="G54" s="34" t="str">
        <f>IFERROR(__xludf.DUMMYFUNCTION("""COMPUTED_VALUE"""),"CEMEI PROFESSORA CIBELE DE ANDRADE MENDES DE AZEVEDO")</f>
        <v>CEMEI PROFESSORA CIBELE DE ANDRADE MENDES DE AZEVEDO</v>
      </c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</row>
    <row r="55" ht="15.75" customHeight="1" spans="1:24">
      <c r="A55" s="34" t="str">
        <f>IFERROR(__xludf.DUMMYFUNCTION("""COMPUTED_VALUE"""),"23/03/2026 18:55:05")</f>
        <v>23/03/2026 18:55:05</v>
      </c>
      <c r="B55" s="63" t="str">
        <f>IFERROR(__xludf.DUMMYFUNCTION("""COMPUTED_VALUE"""),"2")</f>
        <v>2</v>
      </c>
      <c r="C55" s="34" t="str">
        <f>IFERROR(__xludf.DUMMYFUNCTION("""COMPUTED_VALUE"""),"F. G. C. L")</f>
        <v>F. G. C. L</v>
      </c>
      <c r="D55" s="34" t="str">
        <f>IFERROR(__xludf.DUMMYFUNCTION("""COMPUTED_VALUE"""),"08/06/2022")</f>
        <v>08/06/2022</v>
      </c>
      <c r="E55" s="34" t="str">
        <f>IFERROR(__xludf.DUMMYFUNCTION("""COMPUTED_VALUE"""),"181******24")</f>
        <v>181******24</v>
      </c>
      <c r="F55" s="34" t="str">
        <f>IFERROR(__xludf.DUMMYFUNCTION("""COMPUTED_VALUE"""),"INFANTIL 3")</f>
        <v>INFANTIL 3</v>
      </c>
      <c r="G55" s="34" t="str">
        <f>IFERROR(__xludf.DUMMYFUNCTION("""COMPUTED_VALUE"""),"CEMEI PROFESSORA CIBELE DE ANDRADE MENDES DE AZEVEDO")</f>
        <v>CEMEI PROFESSORA CIBELE DE ANDRADE MENDES DE AZEVEDO</v>
      </c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</row>
    <row r="56" ht="15.75" customHeight="1" spans="1:24">
      <c r="A56" s="34" t="str">
        <f>IFERROR(__xludf.DUMMYFUNCTION("""COMPUTED_VALUE"""),"22/04/2026 15:18:51")</f>
        <v>22/04/2026 15:18:51</v>
      </c>
      <c r="B56" s="63" t="str">
        <f>IFERROR(__xludf.DUMMYFUNCTION("""COMPUTED_VALUE"""),"3")</f>
        <v>3</v>
      </c>
      <c r="C56" s="34" t="str">
        <f>IFERROR(__xludf.DUMMYFUNCTION("""COMPUTED_VALUE"""),"A. M. M. D. S")</f>
        <v>A. M. M. D. S</v>
      </c>
      <c r="D56" s="34" t="str">
        <f>IFERROR(__xludf.DUMMYFUNCTION("""COMPUTED_VALUE"""),"05/01/2023")</f>
        <v>05/01/2023</v>
      </c>
      <c r="E56" s="34" t="str">
        <f>IFERROR(__xludf.DUMMYFUNCTION("""COMPUTED_VALUE"""),"184******20")</f>
        <v>184******20</v>
      </c>
      <c r="F56" s="34" t="str">
        <f>IFERROR(__xludf.DUMMYFUNCTION("""COMPUTED_VALUE"""),"INFANTIL 3")</f>
        <v>INFANTIL 3</v>
      </c>
      <c r="G56" s="34" t="str">
        <f>IFERROR(__xludf.DUMMYFUNCTION("""COMPUTED_VALUE"""),"CEMEI PROFESSORA CIBELE DE ANDRADE MENDES DE AZEVEDO")</f>
        <v>CEMEI PROFESSORA CIBELE DE ANDRADE MENDES DE AZEVEDO</v>
      </c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</row>
    <row r="57" ht="15.75" customHeight="1" spans="1:24">
      <c r="A57" s="34" t="str">
        <f>IFERROR(__xludf.DUMMYFUNCTION("""COMPUTED_VALUE"""),"23/04/2026 10:57:36")</f>
        <v>23/04/2026 10:57:36</v>
      </c>
      <c r="B57" s="63" t="str">
        <f>IFERROR(__xludf.DUMMYFUNCTION("""COMPUTED_VALUE"""),"4")</f>
        <v>4</v>
      </c>
      <c r="C57" s="34" t="str">
        <f>IFERROR(__xludf.DUMMYFUNCTION("""COMPUTED_VALUE"""),"A. V. S. D. S")</f>
        <v>A. V. S. D. S</v>
      </c>
      <c r="D57" s="34" t="str">
        <f>IFERROR(__xludf.DUMMYFUNCTION("""COMPUTED_VALUE"""),"18/11/2022")</f>
        <v>18/11/2022</v>
      </c>
      <c r="E57" s="34" t="str">
        <f>IFERROR(__xludf.DUMMYFUNCTION("""COMPUTED_VALUE"""),"183******13")</f>
        <v>183******13</v>
      </c>
      <c r="F57" s="34" t="str">
        <f>IFERROR(__xludf.DUMMYFUNCTION("""COMPUTED_VALUE"""),"INFANTIL 3")</f>
        <v>INFANTIL 3</v>
      </c>
      <c r="G57" s="34" t="str">
        <f>IFERROR(__xludf.DUMMYFUNCTION("""COMPUTED_VALUE"""),"CEMEI PROFESSORA CIBELE DE ANDRADE MENDES DE AZEVEDO")</f>
        <v>CEMEI PROFESSORA CIBELE DE ANDRADE MENDES DE AZEVEDO</v>
      </c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</row>
    <row r="58" ht="15.75" customHeight="1" spans="1:24">
      <c r="A58" s="34" t="str">
        <f>IFERROR(__xludf.DUMMYFUNCTION("""COMPUTED_VALUE"""),"13/05/2026 10:59:27")</f>
        <v>13/05/2026 10:59:27</v>
      </c>
      <c r="B58" s="63" t="str">
        <f>IFERROR(__xludf.DUMMYFUNCTION("""COMPUTED_VALUE"""),"5")</f>
        <v>5</v>
      </c>
      <c r="C58" s="34" t="str">
        <f>IFERROR(__xludf.DUMMYFUNCTION("""COMPUTED_VALUE"""),"R. L. D. S. M")</f>
        <v>R. L. D. S. M</v>
      </c>
      <c r="D58" s="34" t="str">
        <f>IFERROR(__xludf.DUMMYFUNCTION("""COMPUTED_VALUE"""),"21/09/2022")</f>
        <v>21/09/2022</v>
      </c>
      <c r="E58" s="34" t="str">
        <f>IFERROR(__xludf.DUMMYFUNCTION("""COMPUTED_VALUE"""),"182******16")</f>
        <v>182******16</v>
      </c>
      <c r="F58" s="34" t="str">
        <f>IFERROR(__xludf.DUMMYFUNCTION("""COMPUTED_VALUE"""),"INFANTIL 3")</f>
        <v>INFANTIL 3</v>
      </c>
      <c r="G58" s="34" t="str">
        <f>IFERROR(__xludf.DUMMYFUNCTION("""COMPUTED_VALUE"""),"CEMEI PROFESSORA CIBELE DE ANDRADE MENDES DE AZEVEDO")</f>
        <v>CEMEI PROFESSORA CIBELE DE ANDRADE MENDES DE AZEVEDO</v>
      </c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</row>
    <row r="59" ht="15.75" customHeight="1" spans="1:24">
      <c r="A59" s="34" t="str">
        <f>IFERROR(__xludf.DUMMYFUNCTION("""COMPUTED_VALUE"""),"05/02/2026 23:06:26")</f>
        <v>05/02/2026 23:06:26</v>
      </c>
      <c r="B59" s="63" t="str">
        <f>IFERROR(__xludf.DUMMYFUNCTION("""COMPUTED_VALUE"""),"1")</f>
        <v>1</v>
      </c>
      <c r="C59" s="34" t="str">
        <f>IFERROR(__xludf.DUMMYFUNCTION("""COMPUTED_VALUE"""),"L. S. S")</f>
        <v>L. S. S</v>
      </c>
      <c r="D59" s="34" t="str">
        <f>IFERROR(__xludf.DUMMYFUNCTION("""COMPUTED_VALUE"""),"27/04/2025")</f>
        <v>27/04/2025</v>
      </c>
      <c r="E59" s="34" t="str">
        <f>IFERROR(__xludf.DUMMYFUNCTION("""COMPUTED_VALUE"""),"017******91")</f>
        <v>017******91</v>
      </c>
      <c r="F59" s="34" t="str">
        <f>IFERROR(__xludf.DUMMYFUNCTION("""COMPUTED_VALUE"""),"INFANTIL 1")</f>
        <v>INFANTIL 1</v>
      </c>
      <c r="G59" s="34" t="str">
        <f>IFERROR(__xludf.DUMMYFUNCTION("""COMPUTED_VALUE"""),"CRECHE MUNICIPAL PROFESSORA SILVIA CRISTINA SANTOS BOTELHO")</f>
        <v>CRECHE MUNICIPAL PROFESSORA SILVIA CRISTINA SANTOS BOTELHO</v>
      </c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</row>
    <row r="60" ht="15.75" customHeight="1" spans="1:24">
      <c r="A60" s="34" t="str">
        <f>IFERROR(__xludf.DUMMYFUNCTION("""COMPUTED_VALUE"""),"27/03/2026 15:45:11")</f>
        <v>27/03/2026 15:45:11</v>
      </c>
      <c r="B60" s="63" t="str">
        <f>IFERROR(__xludf.DUMMYFUNCTION("""COMPUTED_VALUE"""),"2")</f>
        <v>2</v>
      </c>
      <c r="C60" s="34" t="str">
        <f>IFERROR(__xludf.DUMMYFUNCTION("""COMPUTED_VALUE"""),"A. M. D. S. V")</f>
        <v>A. M. D. S. V</v>
      </c>
      <c r="D60" s="34" t="str">
        <f>IFERROR(__xludf.DUMMYFUNCTION("""COMPUTED_VALUE"""),"12/10/2024")</f>
        <v>12/10/2024</v>
      </c>
      <c r="E60" s="34" t="str">
        <f>IFERROR(__xludf.DUMMYFUNCTION("""COMPUTED_VALUE"""),"004******00")</f>
        <v>004******00</v>
      </c>
      <c r="F60" s="34" t="str">
        <f>IFERROR(__xludf.DUMMYFUNCTION("""COMPUTED_VALUE"""),"INFANTIL 1")</f>
        <v>INFANTIL 1</v>
      </c>
      <c r="G60" s="34" t="str">
        <f>IFERROR(__xludf.DUMMYFUNCTION("""COMPUTED_VALUE"""),"CRECHE MUNICIPAL PROFESSORA SILVIA CRISTINA SANTOS BOTELHO")</f>
        <v>CRECHE MUNICIPAL PROFESSORA SILVIA CRISTINA SANTOS BOTELHO</v>
      </c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</row>
    <row r="61" ht="15.75" customHeight="1" spans="1:24">
      <c r="A61" s="34" t="str">
        <f>IFERROR(__xludf.DUMMYFUNCTION("""COMPUTED_VALUE"""),"15/04/2026 22:22:20")</f>
        <v>15/04/2026 22:22:20</v>
      </c>
      <c r="B61" s="63" t="str">
        <f>IFERROR(__xludf.DUMMYFUNCTION("""COMPUTED_VALUE"""),"3")</f>
        <v>3</v>
      </c>
      <c r="C61" s="34" t="str">
        <f>IFERROR(__xludf.DUMMYFUNCTION("""COMPUTED_VALUE"""),"I. E. D. S")</f>
        <v>I. E. D. S</v>
      </c>
      <c r="D61" s="34" t="str">
        <f>IFERROR(__xludf.DUMMYFUNCTION("""COMPUTED_VALUE"""),"19/11/2024")</f>
        <v>19/11/2024</v>
      </c>
      <c r="E61" s="34" t="str">
        <f>IFERROR(__xludf.DUMMYFUNCTION("""COMPUTED_VALUE"""),"004******92")</f>
        <v>004******92</v>
      </c>
      <c r="F61" s="34" t="str">
        <f>IFERROR(__xludf.DUMMYFUNCTION("""COMPUTED_VALUE"""),"INFANTIL 1")</f>
        <v>INFANTIL 1</v>
      </c>
      <c r="G61" s="34" t="str">
        <f>IFERROR(__xludf.DUMMYFUNCTION("""COMPUTED_VALUE"""),"CRECHE MUNICIPAL PROFESSORA SILVIA CRISTINA SANTOS BOTELHO")</f>
        <v>CRECHE MUNICIPAL PROFESSORA SILVIA CRISTINA SANTOS BOTELHO</v>
      </c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</row>
    <row r="62" ht="15.75" customHeight="1" spans="1:24">
      <c r="A62" s="34" t="str">
        <f>IFERROR(__xludf.DUMMYFUNCTION("""COMPUTED_VALUE"""),"05/05/2026 10:48:19")</f>
        <v>05/05/2026 10:48:19</v>
      </c>
      <c r="B62" s="63" t="str">
        <f>IFERROR(__xludf.DUMMYFUNCTION("""COMPUTED_VALUE"""),"4")</f>
        <v>4</v>
      </c>
      <c r="C62" s="34" t="str">
        <f>IFERROR(__xludf.DUMMYFUNCTION("""COMPUTED_VALUE"""),"D. N")</f>
        <v>D. N</v>
      </c>
      <c r="D62" s="34" t="str">
        <f>IFERROR(__xludf.DUMMYFUNCTION("""COMPUTED_VALUE"""),"19/06/2024")</f>
        <v>19/06/2024</v>
      </c>
      <c r="E62" s="34" t="str">
        <f>IFERROR(__xludf.DUMMYFUNCTION("""COMPUTED_VALUE"""),"003******78")</f>
        <v>003******78</v>
      </c>
      <c r="F62" s="34" t="str">
        <f>IFERROR(__xludf.DUMMYFUNCTION("""COMPUTED_VALUE"""),"INFANTIL 1")</f>
        <v>INFANTIL 1</v>
      </c>
      <c r="G62" s="34" t="str">
        <f>IFERROR(__xludf.DUMMYFUNCTION("""COMPUTED_VALUE"""),"CRECHE MUNICIPAL PROFESSORA SILVIA CRISTINA SANTOS BOTELHO")</f>
        <v>CRECHE MUNICIPAL PROFESSORA SILVIA CRISTINA SANTOS BOTELHO</v>
      </c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</row>
    <row r="63" ht="15.75" customHeight="1" spans="1:24">
      <c r="A63" s="34" t="str">
        <f>IFERROR(__xludf.DUMMYFUNCTION("""COMPUTED_VALUE"""),"25/05/2026 19:36:10")</f>
        <v>25/05/2026 19:36:10</v>
      </c>
      <c r="B63" s="63" t="str">
        <f>IFERROR(__xludf.DUMMYFUNCTION("""COMPUTED_VALUE"""),"5")</f>
        <v>5</v>
      </c>
      <c r="C63" s="34" t="str">
        <f>IFERROR(__xludf.DUMMYFUNCTION("""COMPUTED_VALUE"""),"A. S. s. d. s")</f>
        <v>A. S. s. d. s</v>
      </c>
      <c r="D63" s="34" t="str">
        <f>IFERROR(__xludf.DUMMYFUNCTION("""COMPUTED_VALUE"""),"05/01/2025")</f>
        <v>05/01/2025</v>
      </c>
      <c r="E63" s="34" t="str">
        <f>IFERROR(__xludf.DUMMYFUNCTION("""COMPUTED_VALUE"""),"005******41")</f>
        <v>005******41</v>
      </c>
      <c r="F63" s="34" t="str">
        <f>IFERROR(__xludf.DUMMYFUNCTION("""COMPUTED_VALUE"""),"INFANTIL 1")</f>
        <v>INFANTIL 1</v>
      </c>
      <c r="G63" s="34" t="str">
        <f>IFERROR(__xludf.DUMMYFUNCTION("""COMPUTED_VALUE"""),"CRECHE MUNICIPAL PROFESSORA SILVIA CRISTINA SANTOS BOTELHO")</f>
        <v>CRECHE MUNICIPAL PROFESSORA SILVIA CRISTINA SANTOS BOTELHO</v>
      </c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</row>
    <row r="64" ht="15.75" customHeight="1" spans="1:24">
      <c r="A64" s="34"/>
      <c r="B64" s="63"/>
      <c r="C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</row>
    <row r="65" ht="15.75" customHeight="1" spans="1:24">
      <c r="A65" s="34"/>
      <c r="B65" s="63"/>
      <c r="C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</row>
    <row r="66" ht="15.75" customHeight="1" spans="1:24">
      <c r="A66" s="34"/>
      <c r="B66" s="63"/>
      <c r="C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</row>
    <row r="67" ht="15.75" customHeight="1" spans="1:24">
      <c r="A67" s="34"/>
      <c r="B67" s="63"/>
      <c r="C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</row>
    <row r="68" ht="15.75" customHeight="1" spans="1:24">
      <c r="A68" s="34"/>
      <c r="B68" s="63"/>
      <c r="C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</row>
  </sheetData>
  <mergeCells count="17">
    <mergeCell ref="A2:P2"/>
    <mergeCell ref="D4:P4"/>
    <mergeCell ref="D5:G5"/>
    <mergeCell ref="H5:I5"/>
    <mergeCell ref="J5:O5"/>
    <mergeCell ref="H6:I6"/>
    <mergeCell ref="J6:K6"/>
    <mergeCell ref="L6:M6"/>
    <mergeCell ref="N6:O6"/>
    <mergeCell ref="C4:C7"/>
    <mergeCell ref="P5:P6"/>
    <mergeCell ref="A4:B7"/>
    <mergeCell ref="A8:B10"/>
    <mergeCell ref="A11:B13"/>
    <mergeCell ref="A14:B16"/>
    <mergeCell ref="A17:B19"/>
    <mergeCell ref="A20:B22"/>
  </mergeCells>
  <conditionalFormatting sqref="D8:M18;D20:M21">
    <cfRule type="containsBlanks" dxfId="18" priority="1">
      <formula>LEN(TRIM(D8))=0</formula>
    </cfRule>
  </conditionalFormatting>
  <printOptions horizontalCentered="1"/>
  <pageMargins left="0.7" right="0.7" top="0.75" bottom="0.75" header="0" footer="0"/>
  <pageSetup paperSize="9" fitToHeight="0" pageOrder="overThenDown" orientation="landscape" cellComments="atEnd"/>
  <headerFooter/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W1000"/>
  <sheetViews>
    <sheetView workbookViewId="0">
      <pane ySplit="1" topLeftCell="A2" activePane="bottomLeft" state="frozen"/>
      <selection/>
      <selection pane="bottomLeft" activeCell="B3" sqref="B3"/>
    </sheetView>
  </sheetViews>
  <sheetFormatPr defaultColWidth="14.43" defaultRowHeight="15" customHeight="1"/>
  <cols>
    <col min="1" max="1" width="10.29" customWidth="1"/>
    <col min="2" max="2" width="16.29" customWidth="1"/>
    <col min="3" max="3" width="11.29" customWidth="1"/>
    <col min="4" max="4" width="67.86" customWidth="1"/>
    <col min="5" max="5" width="55.14" customWidth="1"/>
    <col min="6" max="6" width="93" customWidth="1"/>
    <col min="7" max="7" width="22.71" customWidth="1"/>
    <col min="8" max="8" width="12.86" customWidth="1"/>
    <col min="9" max="9" width="13" customWidth="1"/>
  </cols>
  <sheetData>
    <row r="1" ht="22.5" customHeight="1" spans="1:23">
      <c r="A1" s="9" t="s">
        <v>74</v>
      </c>
      <c r="B1" s="9" t="s">
        <v>75</v>
      </c>
      <c r="C1" s="10" t="s">
        <v>22</v>
      </c>
      <c r="D1" s="11" t="s">
        <v>23</v>
      </c>
      <c r="E1" s="9" t="s">
        <v>0</v>
      </c>
      <c r="F1" s="9" t="s">
        <v>76</v>
      </c>
      <c r="G1" s="12" t="s">
        <v>77</v>
      </c>
      <c r="H1" s="12" t="s">
        <v>78</v>
      </c>
      <c r="I1" s="12" t="s">
        <v>79</v>
      </c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</row>
    <row r="2" ht="22.5" customHeight="1" spans="1:23">
      <c r="A2" s="14">
        <v>1</v>
      </c>
      <c r="B2" s="15" t="s">
        <v>80</v>
      </c>
      <c r="C2" s="16">
        <v>26188333</v>
      </c>
      <c r="D2" s="17" t="s">
        <v>81</v>
      </c>
      <c r="E2" s="15" t="s">
        <v>82</v>
      </c>
      <c r="F2" s="15" t="s">
        <v>83</v>
      </c>
      <c r="G2" s="15"/>
      <c r="H2" s="15" t="s">
        <v>84</v>
      </c>
      <c r="I2" s="18" t="s">
        <v>85</v>
      </c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</row>
    <row r="3" ht="22.5" customHeight="1" spans="1:23">
      <c r="A3" s="19">
        <v>2</v>
      </c>
      <c r="B3" s="20" t="s">
        <v>80</v>
      </c>
      <c r="C3" s="21">
        <v>26147840</v>
      </c>
      <c r="D3" s="22" t="s">
        <v>44</v>
      </c>
      <c r="E3" s="20" t="s">
        <v>86</v>
      </c>
      <c r="F3" s="20" t="s">
        <v>87</v>
      </c>
      <c r="G3" s="20"/>
      <c r="H3" s="20" t="s">
        <v>84</v>
      </c>
      <c r="I3" s="23" t="s">
        <v>88</v>
      </c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</row>
    <row r="4" ht="22.5" customHeight="1" spans="1:23">
      <c r="A4" s="14">
        <v>3</v>
      </c>
      <c r="B4" s="15" t="s">
        <v>80</v>
      </c>
      <c r="C4" s="16">
        <v>26108593</v>
      </c>
      <c r="D4" s="17" t="s">
        <v>89</v>
      </c>
      <c r="E4" s="15" t="s">
        <v>90</v>
      </c>
      <c r="F4" s="15" t="s">
        <v>91</v>
      </c>
      <c r="G4" s="15"/>
      <c r="H4" s="15" t="s">
        <v>84</v>
      </c>
      <c r="I4" s="18" t="s">
        <v>85</v>
      </c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</row>
    <row r="5" ht="22.5" customHeight="1" spans="1:23">
      <c r="A5" s="19">
        <v>4</v>
      </c>
      <c r="B5" s="20" t="s">
        <v>80</v>
      </c>
      <c r="C5" s="21">
        <v>26156270</v>
      </c>
      <c r="D5" s="22" t="s">
        <v>45</v>
      </c>
      <c r="E5" s="20" t="s">
        <v>92</v>
      </c>
      <c r="F5" s="20" t="s">
        <v>93</v>
      </c>
      <c r="G5" s="20"/>
      <c r="H5" s="20" t="s">
        <v>84</v>
      </c>
      <c r="I5" s="23" t="s">
        <v>85</v>
      </c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</row>
    <row r="6" ht="22.5" customHeight="1" spans="1:23">
      <c r="A6" s="14">
        <v>5</v>
      </c>
      <c r="B6" s="15" t="s">
        <v>80</v>
      </c>
      <c r="C6" s="16">
        <v>26188767</v>
      </c>
      <c r="D6" s="17" t="s">
        <v>94</v>
      </c>
      <c r="E6" s="15" t="s">
        <v>95</v>
      </c>
      <c r="F6" s="15" t="s">
        <v>96</v>
      </c>
      <c r="G6" s="15"/>
      <c r="H6" s="15" t="s">
        <v>84</v>
      </c>
      <c r="I6" s="18" t="s">
        <v>85</v>
      </c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</row>
    <row r="7" ht="22.5" customHeight="1" spans="1:23">
      <c r="A7" s="19">
        <v>6</v>
      </c>
      <c r="B7" s="20" t="s">
        <v>80</v>
      </c>
      <c r="C7" s="21">
        <v>26108950</v>
      </c>
      <c r="D7" s="22" t="s">
        <v>97</v>
      </c>
      <c r="E7" s="20" t="s">
        <v>98</v>
      </c>
      <c r="F7" s="20" t="s">
        <v>99</v>
      </c>
      <c r="G7" s="20"/>
      <c r="H7" s="20" t="s">
        <v>84</v>
      </c>
      <c r="I7" s="23" t="s">
        <v>88</v>
      </c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</row>
    <row r="8" ht="22.5" customHeight="1" spans="1:23">
      <c r="A8" s="14">
        <v>7</v>
      </c>
      <c r="B8" s="15" t="s">
        <v>80</v>
      </c>
      <c r="C8" s="16">
        <v>26144689</v>
      </c>
      <c r="D8" s="17" t="s">
        <v>100</v>
      </c>
      <c r="E8" s="15" t="s">
        <v>101</v>
      </c>
      <c r="F8" s="15" t="s">
        <v>102</v>
      </c>
      <c r="G8" s="15"/>
      <c r="H8" s="15" t="s">
        <v>84</v>
      </c>
      <c r="I8" s="18" t="s">
        <v>88</v>
      </c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</row>
    <row r="9" ht="22.5" customHeight="1" spans="1:23">
      <c r="A9" s="19">
        <v>8</v>
      </c>
      <c r="B9" s="20" t="s">
        <v>80</v>
      </c>
      <c r="C9" s="21">
        <v>26110873</v>
      </c>
      <c r="D9" s="22" t="s">
        <v>103</v>
      </c>
      <c r="E9" s="20" t="s">
        <v>104</v>
      </c>
      <c r="F9" s="20" t="s">
        <v>105</v>
      </c>
      <c r="G9" s="20"/>
      <c r="H9" s="20" t="s">
        <v>106</v>
      </c>
      <c r="I9" s="23" t="s">
        <v>88</v>
      </c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</row>
    <row r="10" ht="22.5" customHeight="1" spans="1:23">
      <c r="A10" s="14">
        <v>9</v>
      </c>
      <c r="B10" s="15" t="s">
        <v>80</v>
      </c>
      <c r="C10" s="16">
        <v>26109980</v>
      </c>
      <c r="D10" s="17" t="s">
        <v>107</v>
      </c>
      <c r="E10" s="15" t="s">
        <v>108</v>
      </c>
      <c r="F10" s="15" t="s">
        <v>109</v>
      </c>
      <c r="G10" s="15"/>
      <c r="H10" s="15" t="s">
        <v>84</v>
      </c>
      <c r="I10" s="18" t="s">
        <v>88</v>
      </c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</row>
    <row r="11" ht="22.5" customHeight="1" spans="1:23">
      <c r="A11" s="19">
        <v>10</v>
      </c>
      <c r="B11" s="20" t="s">
        <v>80</v>
      </c>
      <c r="C11" s="21">
        <v>26108496</v>
      </c>
      <c r="D11" s="22" t="s">
        <v>110</v>
      </c>
      <c r="E11" s="20" t="s">
        <v>111</v>
      </c>
      <c r="F11" s="20" t="s">
        <v>112</v>
      </c>
      <c r="G11" s="20"/>
      <c r="H11" s="20" t="s">
        <v>84</v>
      </c>
      <c r="I11" s="23" t="s">
        <v>88</v>
      </c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</row>
    <row r="12" ht="22.5" customHeight="1" spans="1:23">
      <c r="A12" s="14">
        <v>11</v>
      </c>
      <c r="B12" s="15" t="s">
        <v>80</v>
      </c>
      <c r="C12" s="16">
        <v>26110962</v>
      </c>
      <c r="D12" s="17" t="s">
        <v>113</v>
      </c>
      <c r="E12" s="15" t="s">
        <v>114</v>
      </c>
      <c r="F12" s="15" t="s">
        <v>115</v>
      </c>
      <c r="G12" s="15"/>
      <c r="H12" s="15" t="s">
        <v>84</v>
      </c>
      <c r="I12" s="18" t="s">
        <v>88</v>
      </c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</row>
    <row r="13" ht="22.5" customHeight="1" spans="1:23">
      <c r="A13" s="19">
        <v>12</v>
      </c>
      <c r="B13" s="20" t="s">
        <v>80</v>
      </c>
      <c r="C13" s="21">
        <v>26108909</v>
      </c>
      <c r="D13" s="22" t="s">
        <v>116</v>
      </c>
      <c r="E13" s="20" t="s">
        <v>117</v>
      </c>
      <c r="F13" s="20" t="s">
        <v>118</v>
      </c>
      <c r="G13" s="20"/>
      <c r="H13" s="20" t="s">
        <v>84</v>
      </c>
      <c r="I13" s="23" t="s">
        <v>88</v>
      </c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</row>
    <row r="14" ht="22.5" customHeight="1" spans="1:23">
      <c r="A14" s="14">
        <v>13</v>
      </c>
      <c r="B14" s="15" t="s">
        <v>80</v>
      </c>
      <c r="C14" s="16">
        <v>26109026</v>
      </c>
      <c r="D14" s="17" t="s">
        <v>119</v>
      </c>
      <c r="E14" s="15" t="s">
        <v>120</v>
      </c>
      <c r="F14" s="15" t="s">
        <v>121</v>
      </c>
      <c r="G14" s="15"/>
      <c r="H14" s="15" t="s">
        <v>106</v>
      </c>
      <c r="I14" s="18" t="s">
        <v>88</v>
      </c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</row>
    <row r="15" ht="22.5" customHeight="1" spans="1:23">
      <c r="A15" s="19">
        <v>14</v>
      </c>
      <c r="B15" s="20" t="s">
        <v>80</v>
      </c>
      <c r="C15" s="21">
        <v>26108461</v>
      </c>
      <c r="D15" s="22" t="s">
        <v>122</v>
      </c>
      <c r="E15" s="20" t="s">
        <v>123</v>
      </c>
      <c r="F15" s="20" t="s">
        <v>124</v>
      </c>
      <c r="G15" s="20"/>
      <c r="H15" s="20" t="s">
        <v>84</v>
      </c>
      <c r="I15" s="23" t="s">
        <v>88</v>
      </c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</row>
    <row r="16" ht="22.5" customHeight="1" spans="1:23">
      <c r="A16" s="14">
        <v>15</v>
      </c>
      <c r="B16" s="15" t="s">
        <v>80</v>
      </c>
      <c r="C16" s="16">
        <v>26111063</v>
      </c>
      <c r="D16" s="17" t="s">
        <v>125</v>
      </c>
      <c r="E16" s="15" t="s">
        <v>126</v>
      </c>
      <c r="F16" s="15" t="s">
        <v>127</v>
      </c>
      <c r="G16" s="15"/>
      <c r="H16" s="15" t="s">
        <v>84</v>
      </c>
      <c r="I16" s="18" t="s">
        <v>88</v>
      </c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</row>
    <row r="17" ht="22.5" customHeight="1" spans="1:23">
      <c r="A17" s="19">
        <v>16</v>
      </c>
      <c r="B17" s="20" t="s">
        <v>80</v>
      </c>
      <c r="C17" s="21">
        <v>26111373</v>
      </c>
      <c r="D17" s="22" t="s">
        <v>128</v>
      </c>
      <c r="E17" s="20" t="s">
        <v>129</v>
      </c>
      <c r="F17" s="20" t="s">
        <v>130</v>
      </c>
      <c r="G17" s="20"/>
      <c r="H17" s="20" t="s">
        <v>106</v>
      </c>
      <c r="I17" s="23" t="s">
        <v>88</v>
      </c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</row>
    <row r="18" ht="22.5" customHeight="1" spans="1:23">
      <c r="A18" s="14">
        <v>17</v>
      </c>
      <c r="B18" s="15" t="s">
        <v>80</v>
      </c>
      <c r="C18" s="16">
        <v>26109247</v>
      </c>
      <c r="D18" s="17" t="s">
        <v>131</v>
      </c>
      <c r="E18" s="15" t="s">
        <v>132</v>
      </c>
      <c r="F18" s="15" t="s">
        <v>133</v>
      </c>
      <c r="G18" s="15"/>
      <c r="H18" s="15" t="s">
        <v>84</v>
      </c>
      <c r="I18" s="18" t="s">
        <v>88</v>
      </c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</row>
    <row r="19" ht="22.5" customHeight="1" spans="1:23">
      <c r="A19" s="19">
        <v>18</v>
      </c>
      <c r="B19" s="20" t="s">
        <v>80</v>
      </c>
      <c r="C19" s="21">
        <v>26109603</v>
      </c>
      <c r="D19" s="22" t="s">
        <v>134</v>
      </c>
      <c r="E19" s="20" t="s">
        <v>135</v>
      </c>
      <c r="F19" s="20" t="s">
        <v>136</v>
      </c>
      <c r="G19" s="20"/>
      <c r="H19" s="20" t="s">
        <v>84</v>
      </c>
      <c r="I19" s="23" t="s">
        <v>88</v>
      </c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</row>
    <row r="20" ht="22.5" customHeight="1" spans="1:23">
      <c r="A20" s="14">
        <v>19</v>
      </c>
      <c r="B20" s="15" t="s">
        <v>80</v>
      </c>
      <c r="C20" s="16">
        <v>26111101</v>
      </c>
      <c r="D20" s="17" t="s">
        <v>137</v>
      </c>
      <c r="E20" s="15" t="s">
        <v>138</v>
      </c>
      <c r="F20" s="15" t="s">
        <v>139</v>
      </c>
      <c r="G20" s="15"/>
      <c r="H20" s="15" t="s">
        <v>84</v>
      </c>
      <c r="I20" s="18" t="s">
        <v>88</v>
      </c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</row>
    <row r="21" ht="15.75" customHeight="1" spans="1:23">
      <c r="A21" s="19">
        <v>20</v>
      </c>
      <c r="B21" s="20" t="s">
        <v>80</v>
      </c>
      <c r="C21" s="21">
        <v>26111110</v>
      </c>
      <c r="D21" s="22" t="s">
        <v>140</v>
      </c>
      <c r="E21" s="20" t="s">
        <v>141</v>
      </c>
      <c r="F21" s="20" t="s">
        <v>142</v>
      </c>
      <c r="G21" s="20"/>
      <c r="H21" s="20" t="s">
        <v>106</v>
      </c>
      <c r="I21" s="23" t="s">
        <v>88</v>
      </c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</row>
    <row r="22" ht="15.75" customHeight="1" spans="1:23">
      <c r="A22" s="14">
        <v>21</v>
      </c>
      <c r="B22" s="15" t="s">
        <v>80</v>
      </c>
      <c r="C22" s="16">
        <v>26109620</v>
      </c>
      <c r="D22" s="17" t="s">
        <v>143</v>
      </c>
      <c r="E22" s="15" t="s">
        <v>144</v>
      </c>
      <c r="F22" s="15" t="s">
        <v>145</v>
      </c>
      <c r="G22" s="15"/>
      <c r="H22" s="15" t="s">
        <v>84</v>
      </c>
      <c r="I22" s="18" t="s">
        <v>88</v>
      </c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</row>
    <row r="23" ht="15.75" customHeight="1" spans="1:23">
      <c r="A23" s="19">
        <v>22</v>
      </c>
      <c r="B23" s="20" t="s">
        <v>80</v>
      </c>
      <c r="C23" s="21">
        <v>26144867</v>
      </c>
      <c r="D23" s="22" t="s">
        <v>146</v>
      </c>
      <c r="E23" s="20" t="s">
        <v>147</v>
      </c>
      <c r="F23" s="20" t="s">
        <v>148</v>
      </c>
      <c r="G23" s="20"/>
      <c r="H23" s="20" t="s">
        <v>84</v>
      </c>
      <c r="I23" s="23" t="s">
        <v>88</v>
      </c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</row>
    <row r="24" ht="15.75" customHeight="1" spans="1:23">
      <c r="A24" s="14">
        <v>23</v>
      </c>
      <c r="B24" s="15" t="s">
        <v>80</v>
      </c>
      <c r="C24" s="16">
        <v>26108976</v>
      </c>
      <c r="D24" s="17" t="s">
        <v>149</v>
      </c>
      <c r="E24" s="15" t="s">
        <v>150</v>
      </c>
      <c r="F24" s="15" t="s">
        <v>151</v>
      </c>
      <c r="G24" s="15"/>
      <c r="H24" s="15" t="s">
        <v>84</v>
      </c>
      <c r="I24" s="18" t="s">
        <v>88</v>
      </c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</row>
    <row r="25" ht="15.75" customHeight="1" spans="1:23">
      <c r="A25" s="19">
        <v>24</v>
      </c>
      <c r="B25" s="20" t="s">
        <v>80</v>
      </c>
      <c r="C25" s="21">
        <v>26108968</v>
      </c>
      <c r="D25" s="22" t="s">
        <v>152</v>
      </c>
      <c r="E25" s="20" t="s">
        <v>153</v>
      </c>
      <c r="F25" s="20" t="s">
        <v>154</v>
      </c>
      <c r="G25" s="20"/>
      <c r="H25" s="20" t="s">
        <v>84</v>
      </c>
      <c r="I25" s="23" t="s">
        <v>88</v>
      </c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</row>
    <row r="26" ht="15.75" customHeight="1" spans="1:23">
      <c r="A26" s="14">
        <v>25</v>
      </c>
      <c r="B26" s="15" t="s">
        <v>80</v>
      </c>
      <c r="C26" s="16">
        <v>26108550</v>
      </c>
      <c r="D26" s="17" t="s">
        <v>155</v>
      </c>
      <c r="E26" s="15" t="s">
        <v>156</v>
      </c>
      <c r="F26" s="15" t="s">
        <v>157</v>
      </c>
      <c r="G26" s="15"/>
      <c r="H26" s="15" t="s">
        <v>106</v>
      </c>
      <c r="I26" s="18" t="s">
        <v>88</v>
      </c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</row>
    <row r="27" ht="15.75" customHeight="1" spans="1:23">
      <c r="A27" s="19">
        <v>26</v>
      </c>
      <c r="B27" s="20" t="s">
        <v>80</v>
      </c>
      <c r="C27" s="21">
        <v>26109239</v>
      </c>
      <c r="D27" s="22" t="s">
        <v>158</v>
      </c>
      <c r="E27" s="20" t="s">
        <v>159</v>
      </c>
      <c r="F27" s="20" t="s">
        <v>160</v>
      </c>
      <c r="G27" s="20"/>
      <c r="H27" s="20" t="s">
        <v>84</v>
      </c>
      <c r="I27" s="23" t="s">
        <v>88</v>
      </c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</row>
    <row r="28" ht="15.75" customHeight="1" spans="1:23">
      <c r="A28" s="14">
        <v>27</v>
      </c>
      <c r="B28" s="15" t="s">
        <v>80</v>
      </c>
      <c r="C28" s="16">
        <v>26109280</v>
      </c>
      <c r="D28" s="17" t="s">
        <v>161</v>
      </c>
      <c r="E28" s="15" t="s">
        <v>162</v>
      </c>
      <c r="F28" s="15" t="s">
        <v>163</v>
      </c>
      <c r="G28" s="15"/>
      <c r="H28" s="15" t="s">
        <v>84</v>
      </c>
      <c r="I28" s="18" t="s">
        <v>88</v>
      </c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</row>
    <row r="29" ht="15.75" customHeight="1" spans="1:23">
      <c r="A29" s="19">
        <v>28</v>
      </c>
      <c r="B29" s="20" t="s">
        <v>80</v>
      </c>
      <c r="C29" s="21">
        <v>26109000</v>
      </c>
      <c r="D29" s="22" t="s">
        <v>164</v>
      </c>
      <c r="E29" s="20" t="s">
        <v>165</v>
      </c>
      <c r="F29" s="20" t="s">
        <v>166</v>
      </c>
      <c r="G29" s="20"/>
      <c r="H29" s="20" t="s">
        <v>84</v>
      </c>
      <c r="I29" s="23" t="s">
        <v>88</v>
      </c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</row>
    <row r="30" ht="15.75" customHeight="1" spans="1:23">
      <c r="A30" s="14">
        <v>29</v>
      </c>
      <c r="B30" s="15" t="s">
        <v>80</v>
      </c>
      <c r="C30" s="16">
        <v>26109140</v>
      </c>
      <c r="D30" s="17" t="s">
        <v>167</v>
      </c>
      <c r="E30" s="15" t="s">
        <v>168</v>
      </c>
      <c r="F30" s="15" t="s">
        <v>169</v>
      </c>
      <c r="G30" s="15"/>
      <c r="H30" s="15" t="s">
        <v>84</v>
      </c>
      <c r="I30" s="18" t="s">
        <v>88</v>
      </c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31" ht="15.75" customHeight="1" spans="1:23">
      <c r="A31" s="19">
        <v>30</v>
      </c>
      <c r="B31" s="20" t="s">
        <v>80</v>
      </c>
      <c r="C31" s="21">
        <v>26109069</v>
      </c>
      <c r="D31" s="22" t="s">
        <v>170</v>
      </c>
      <c r="E31" s="20" t="s">
        <v>171</v>
      </c>
      <c r="F31" s="20" t="s">
        <v>172</v>
      </c>
      <c r="G31" s="20"/>
      <c r="H31" s="20" t="s">
        <v>106</v>
      </c>
      <c r="I31" s="23" t="s">
        <v>88</v>
      </c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</row>
    <row r="32" ht="15.75" customHeight="1" spans="1:23">
      <c r="A32" s="14">
        <v>31</v>
      </c>
      <c r="B32" s="15" t="s">
        <v>80</v>
      </c>
      <c r="C32" s="16">
        <v>26178052</v>
      </c>
      <c r="D32" s="17" t="s">
        <v>173</v>
      </c>
      <c r="E32" s="15" t="s">
        <v>174</v>
      </c>
      <c r="F32" s="15" t="s">
        <v>175</v>
      </c>
      <c r="G32" s="15"/>
      <c r="H32" s="15" t="s">
        <v>106</v>
      </c>
      <c r="I32" s="18" t="s">
        <v>88</v>
      </c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</row>
    <row r="33" ht="15.75" customHeight="1" spans="1:23">
      <c r="A33" s="19">
        <v>32</v>
      </c>
      <c r="B33" s="20" t="s">
        <v>80</v>
      </c>
      <c r="C33" s="21">
        <v>26109875</v>
      </c>
      <c r="D33" s="22" t="s">
        <v>176</v>
      </c>
      <c r="E33" s="20" t="s">
        <v>177</v>
      </c>
      <c r="F33" s="20" t="s">
        <v>178</v>
      </c>
      <c r="G33" s="20"/>
      <c r="H33" s="20" t="s">
        <v>106</v>
      </c>
      <c r="I33" s="23" t="s">
        <v>88</v>
      </c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</row>
    <row r="34" ht="15.75" customHeight="1" spans="1:23">
      <c r="A34" s="14">
        <v>33</v>
      </c>
      <c r="B34" s="15" t="s">
        <v>80</v>
      </c>
      <c r="C34" s="16">
        <v>26174723</v>
      </c>
      <c r="D34" s="17" t="s">
        <v>179</v>
      </c>
      <c r="E34" s="15" t="s">
        <v>180</v>
      </c>
      <c r="F34" s="15" t="s">
        <v>181</v>
      </c>
      <c r="G34" s="15"/>
      <c r="H34" s="15" t="s">
        <v>84</v>
      </c>
      <c r="I34" s="18" t="s">
        <v>88</v>
      </c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</row>
    <row r="35" ht="15.75" customHeight="1" spans="1:23">
      <c r="A35" s="19">
        <v>34</v>
      </c>
      <c r="B35" s="20" t="s">
        <v>80</v>
      </c>
      <c r="C35" s="21">
        <v>26109310</v>
      </c>
      <c r="D35" s="22" t="s">
        <v>182</v>
      </c>
      <c r="E35" s="20" t="s">
        <v>183</v>
      </c>
      <c r="F35" s="20" t="s">
        <v>184</v>
      </c>
      <c r="G35" s="20"/>
      <c r="H35" s="20" t="s">
        <v>106</v>
      </c>
      <c r="I35" s="23" t="s">
        <v>85</v>
      </c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</row>
    <row r="36" ht="15.75" customHeight="1" spans="1:23">
      <c r="A36" s="14">
        <v>35</v>
      </c>
      <c r="B36" s="15" t="s">
        <v>185</v>
      </c>
      <c r="C36" s="16">
        <v>26186063</v>
      </c>
      <c r="D36" s="17" t="s">
        <v>48</v>
      </c>
      <c r="E36" s="15" t="s">
        <v>186</v>
      </c>
      <c r="F36" s="15" t="s">
        <v>187</v>
      </c>
      <c r="G36" s="15"/>
      <c r="H36" s="15" t="s">
        <v>84</v>
      </c>
      <c r="I36" s="18" t="s">
        <v>85</v>
      </c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</row>
    <row r="37" ht="15.75" customHeight="1" spans="1:23">
      <c r="A37" s="19">
        <v>36</v>
      </c>
      <c r="B37" s="20" t="s">
        <v>185</v>
      </c>
      <c r="C37" s="21">
        <v>26177560</v>
      </c>
      <c r="D37" s="22" t="s">
        <v>188</v>
      </c>
      <c r="E37" s="20" t="s">
        <v>189</v>
      </c>
      <c r="F37" s="20" t="s">
        <v>190</v>
      </c>
      <c r="G37" s="20"/>
      <c r="H37" s="20" t="s">
        <v>84</v>
      </c>
      <c r="I37" s="23" t="s">
        <v>88</v>
      </c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</row>
    <row r="38" ht="15.75" customHeight="1" spans="1:23">
      <c r="A38" s="14">
        <v>37</v>
      </c>
      <c r="B38" s="15" t="s">
        <v>185</v>
      </c>
      <c r="C38" s="16">
        <v>26109425</v>
      </c>
      <c r="D38" s="17" t="s">
        <v>191</v>
      </c>
      <c r="E38" s="15" t="s">
        <v>192</v>
      </c>
      <c r="F38" s="15" t="s">
        <v>193</v>
      </c>
      <c r="G38" s="15"/>
      <c r="H38" s="15" t="s">
        <v>84</v>
      </c>
      <c r="I38" s="18" t="s">
        <v>85</v>
      </c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</row>
    <row r="39" ht="15.75" customHeight="1" spans="1:23">
      <c r="A39" s="19">
        <v>38</v>
      </c>
      <c r="B39" s="20" t="s">
        <v>185</v>
      </c>
      <c r="C39" s="21">
        <v>26190168</v>
      </c>
      <c r="D39" s="22" t="s">
        <v>194</v>
      </c>
      <c r="E39" s="20" t="s">
        <v>195</v>
      </c>
      <c r="F39" s="20" t="s">
        <v>196</v>
      </c>
      <c r="G39" s="20"/>
      <c r="H39" s="20" t="s">
        <v>84</v>
      </c>
      <c r="I39" s="23" t="s">
        <v>85</v>
      </c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</row>
    <row r="40" ht="15.75" customHeight="1" spans="1:23">
      <c r="A40" s="14">
        <v>39</v>
      </c>
      <c r="B40" s="15" t="s">
        <v>185</v>
      </c>
      <c r="C40" s="16">
        <v>26171554</v>
      </c>
      <c r="D40" s="17" t="s">
        <v>197</v>
      </c>
      <c r="E40" s="15" t="s">
        <v>198</v>
      </c>
      <c r="F40" s="15" t="s">
        <v>199</v>
      </c>
      <c r="G40" s="15"/>
      <c r="H40" s="15" t="s">
        <v>84</v>
      </c>
      <c r="I40" s="18" t="s">
        <v>88</v>
      </c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</row>
    <row r="41" ht="15.75" customHeight="1" spans="1:23">
      <c r="A41" s="19">
        <v>40</v>
      </c>
      <c r="B41" s="20" t="s">
        <v>185</v>
      </c>
      <c r="C41" s="21">
        <v>26186853</v>
      </c>
      <c r="D41" s="22" t="s">
        <v>200</v>
      </c>
      <c r="E41" s="20" t="s">
        <v>201</v>
      </c>
      <c r="F41" s="20" t="s">
        <v>202</v>
      </c>
      <c r="G41" s="20"/>
      <c r="H41" s="20" t="s">
        <v>84</v>
      </c>
      <c r="I41" s="23" t="s">
        <v>88</v>
      </c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</row>
    <row r="42" ht="15.75" customHeight="1" spans="1:23">
      <c r="A42" s="14">
        <v>41</v>
      </c>
      <c r="B42" s="15" t="s">
        <v>185</v>
      </c>
      <c r="C42" s="16">
        <v>26109972</v>
      </c>
      <c r="D42" s="17" t="s">
        <v>203</v>
      </c>
      <c r="E42" s="15" t="s">
        <v>204</v>
      </c>
      <c r="F42" s="15" t="s">
        <v>205</v>
      </c>
      <c r="G42" s="15"/>
      <c r="H42" s="15" t="s">
        <v>84</v>
      </c>
      <c r="I42" s="18" t="s">
        <v>85</v>
      </c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</row>
    <row r="43" ht="15.75" customHeight="1" spans="1:23">
      <c r="A43" s="19">
        <v>42</v>
      </c>
      <c r="B43" s="20" t="s">
        <v>185</v>
      </c>
      <c r="C43" s="21">
        <v>26108739</v>
      </c>
      <c r="D43" s="22" t="s">
        <v>206</v>
      </c>
      <c r="E43" s="20" t="s">
        <v>207</v>
      </c>
      <c r="F43" s="20" t="s">
        <v>208</v>
      </c>
      <c r="G43" s="20"/>
      <c r="H43" s="20" t="s">
        <v>84</v>
      </c>
      <c r="I43" s="23" t="s">
        <v>88</v>
      </c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</row>
    <row r="44" ht="15.75" customHeight="1" spans="1:23">
      <c r="A44" s="14">
        <v>43</v>
      </c>
      <c r="B44" s="15" t="s">
        <v>185</v>
      </c>
      <c r="C44" s="16">
        <v>26110261</v>
      </c>
      <c r="D44" s="17" t="s">
        <v>209</v>
      </c>
      <c r="E44" s="15" t="s">
        <v>210</v>
      </c>
      <c r="F44" s="15" t="s">
        <v>211</v>
      </c>
      <c r="G44" s="15"/>
      <c r="H44" s="15" t="s">
        <v>84</v>
      </c>
      <c r="I44" s="18" t="s">
        <v>88</v>
      </c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</row>
    <row r="45" ht="15.75" customHeight="1" spans="1:23">
      <c r="A45" s="19">
        <v>44</v>
      </c>
      <c r="B45" s="20" t="s">
        <v>185</v>
      </c>
      <c r="C45" s="21">
        <v>26110156</v>
      </c>
      <c r="D45" s="22" t="s">
        <v>212</v>
      </c>
      <c r="E45" s="20" t="s">
        <v>213</v>
      </c>
      <c r="F45" s="20" t="s">
        <v>214</v>
      </c>
      <c r="G45" s="20"/>
      <c r="H45" s="20" t="s">
        <v>84</v>
      </c>
      <c r="I45" s="23" t="s">
        <v>88</v>
      </c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</row>
    <row r="46" ht="15.75" customHeight="1" spans="1:23">
      <c r="A46" s="14">
        <v>45</v>
      </c>
      <c r="B46" s="15" t="s">
        <v>185</v>
      </c>
      <c r="C46" s="16">
        <v>26110334</v>
      </c>
      <c r="D46" s="17" t="s">
        <v>215</v>
      </c>
      <c r="E46" s="15" t="s">
        <v>216</v>
      </c>
      <c r="F46" s="15" t="s">
        <v>217</v>
      </c>
      <c r="G46" s="15"/>
      <c r="H46" s="15" t="s">
        <v>84</v>
      </c>
      <c r="I46" s="18" t="s">
        <v>88</v>
      </c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</row>
    <row r="47" ht="15.75" customHeight="1" spans="1:23">
      <c r="A47" s="19">
        <v>46</v>
      </c>
      <c r="B47" s="20" t="s">
        <v>185</v>
      </c>
      <c r="C47" s="21">
        <v>26108917</v>
      </c>
      <c r="D47" s="22" t="s">
        <v>218</v>
      </c>
      <c r="E47" s="20" t="s">
        <v>219</v>
      </c>
      <c r="F47" s="20" t="s">
        <v>220</v>
      </c>
      <c r="G47" s="20"/>
      <c r="H47" s="20" t="s">
        <v>84</v>
      </c>
      <c r="I47" s="23" t="s">
        <v>88</v>
      </c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</row>
    <row r="48" ht="15.75" customHeight="1" spans="1:23">
      <c r="A48" s="14">
        <v>47</v>
      </c>
      <c r="B48" s="15" t="s">
        <v>185</v>
      </c>
      <c r="C48" s="16">
        <v>26541734</v>
      </c>
      <c r="D48" s="17" t="s">
        <v>221</v>
      </c>
      <c r="E48" s="15" t="s">
        <v>222</v>
      </c>
      <c r="F48" s="15" t="s">
        <v>223</v>
      </c>
      <c r="G48" s="15"/>
      <c r="H48" s="15" t="s">
        <v>84</v>
      </c>
      <c r="I48" s="18" t="s">
        <v>88</v>
      </c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</row>
    <row r="49" ht="15.75" customHeight="1" spans="1:23">
      <c r="A49" s="19">
        <v>48</v>
      </c>
      <c r="B49" s="20" t="s">
        <v>185</v>
      </c>
      <c r="C49" s="21">
        <v>26109271</v>
      </c>
      <c r="D49" s="22" t="s">
        <v>224</v>
      </c>
      <c r="E49" s="20" t="s">
        <v>225</v>
      </c>
      <c r="F49" s="20" t="s">
        <v>226</v>
      </c>
      <c r="G49" s="20"/>
      <c r="H49" s="20" t="s">
        <v>84</v>
      </c>
      <c r="I49" s="23" t="s">
        <v>88</v>
      </c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</row>
    <row r="50" ht="15.75" customHeight="1" spans="1:23">
      <c r="A50" s="14">
        <v>49</v>
      </c>
      <c r="B50" s="15" t="s">
        <v>185</v>
      </c>
      <c r="C50" s="16">
        <v>26174707</v>
      </c>
      <c r="D50" s="17" t="s">
        <v>227</v>
      </c>
      <c r="E50" s="15" t="s">
        <v>228</v>
      </c>
      <c r="F50" s="15" t="s">
        <v>229</v>
      </c>
      <c r="G50" s="15"/>
      <c r="H50" s="15" t="s">
        <v>84</v>
      </c>
      <c r="I50" s="18" t="s">
        <v>88</v>
      </c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</row>
    <row r="51" ht="15.75" customHeight="1" spans="1:23">
      <c r="A51" s="19">
        <v>50</v>
      </c>
      <c r="B51" s="20" t="s">
        <v>185</v>
      </c>
      <c r="C51" s="21">
        <v>26109484</v>
      </c>
      <c r="D51" s="22" t="s">
        <v>230</v>
      </c>
      <c r="E51" s="20" t="s">
        <v>231</v>
      </c>
      <c r="F51" s="20" t="s">
        <v>232</v>
      </c>
      <c r="G51" s="20"/>
      <c r="H51" s="20" t="s">
        <v>84</v>
      </c>
      <c r="I51" s="23" t="s">
        <v>88</v>
      </c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</row>
    <row r="52" ht="15.75" customHeight="1" spans="1:23">
      <c r="A52" s="14">
        <v>51</v>
      </c>
      <c r="B52" s="15" t="s">
        <v>185</v>
      </c>
      <c r="C52" s="16">
        <v>26177595</v>
      </c>
      <c r="D52" s="17" t="s">
        <v>233</v>
      </c>
      <c r="E52" s="15" t="s">
        <v>234</v>
      </c>
      <c r="F52" s="15" t="s">
        <v>235</v>
      </c>
      <c r="G52" s="15"/>
      <c r="H52" s="15" t="s">
        <v>84</v>
      </c>
      <c r="I52" s="18" t="s">
        <v>88</v>
      </c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</row>
    <row r="53" ht="15.75" customHeight="1" spans="1:23">
      <c r="A53" s="19">
        <v>52</v>
      </c>
      <c r="B53" s="20" t="s">
        <v>185</v>
      </c>
      <c r="C53" s="21">
        <v>26110342</v>
      </c>
      <c r="D53" s="22" t="s">
        <v>236</v>
      </c>
      <c r="E53" s="20" t="s">
        <v>237</v>
      </c>
      <c r="F53" s="20" t="s">
        <v>238</v>
      </c>
      <c r="G53" s="20"/>
      <c r="H53" s="20" t="s">
        <v>84</v>
      </c>
      <c r="I53" s="23" t="s">
        <v>88</v>
      </c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</row>
    <row r="54" ht="15.75" customHeight="1" spans="1:23">
      <c r="A54" s="14">
        <v>53</v>
      </c>
      <c r="B54" s="15" t="s">
        <v>185</v>
      </c>
      <c r="C54" s="16">
        <v>26110369</v>
      </c>
      <c r="D54" s="17" t="s">
        <v>239</v>
      </c>
      <c r="E54" s="15" t="s">
        <v>240</v>
      </c>
      <c r="F54" s="15" t="s">
        <v>241</v>
      </c>
      <c r="G54" s="15"/>
      <c r="H54" s="15" t="s">
        <v>84</v>
      </c>
      <c r="I54" s="18" t="s">
        <v>85</v>
      </c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</row>
    <row r="55" ht="15.75" customHeight="1" spans="1:23">
      <c r="A55" s="19">
        <v>54</v>
      </c>
      <c r="B55" s="20" t="s">
        <v>185</v>
      </c>
      <c r="C55" s="21">
        <v>26139987</v>
      </c>
      <c r="D55" s="22" t="s">
        <v>242</v>
      </c>
      <c r="E55" s="20" t="s">
        <v>243</v>
      </c>
      <c r="F55" s="20" t="s">
        <v>244</v>
      </c>
      <c r="G55" s="20"/>
      <c r="H55" s="20" t="s">
        <v>84</v>
      </c>
      <c r="I55" s="23" t="s">
        <v>88</v>
      </c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</row>
    <row r="56" ht="15.75" customHeight="1" spans="1:23">
      <c r="A56" s="14">
        <v>55</v>
      </c>
      <c r="B56" s="15" t="s">
        <v>185</v>
      </c>
      <c r="C56" s="16">
        <v>26186292</v>
      </c>
      <c r="D56" s="17" t="s">
        <v>245</v>
      </c>
      <c r="E56" s="15" t="s">
        <v>246</v>
      </c>
      <c r="F56" s="15" t="s">
        <v>247</v>
      </c>
      <c r="G56" s="15"/>
      <c r="H56" s="15" t="s">
        <v>84</v>
      </c>
      <c r="I56" s="18" t="s">
        <v>88</v>
      </c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</row>
    <row r="57" ht="15.75" customHeight="1" spans="1:23">
      <c r="A57" s="19">
        <v>56</v>
      </c>
      <c r="B57" s="20" t="s">
        <v>185</v>
      </c>
      <c r="C57" s="21">
        <v>26110202</v>
      </c>
      <c r="D57" s="22" t="s">
        <v>248</v>
      </c>
      <c r="E57" s="20" t="s">
        <v>249</v>
      </c>
      <c r="F57" s="20" t="s">
        <v>250</v>
      </c>
      <c r="G57" s="20"/>
      <c r="H57" s="20" t="s">
        <v>84</v>
      </c>
      <c r="I57" s="23" t="s">
        <v>88</v>
      </c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</row>
    <row r="58" ht="15.75" customHeight="1" spans="1:23">
      <c r="A58" s="14">
        <v>57</v>
      </c>
      <c r="B58" s="15" t="s">
        <v>185</v>
      </c>
      <c r="C58" s="16">
        <v>26177579</v>
      </c>
      <c r="D58" s="17" t="s">
        <v>251</v>
      </c>
      <c r="E58" s="15" t="s">
        <v>252</v>
      </c>
      <c r="F58" s="15" t="s">
        <v>253</v>
      </c>
      <c r="G58" s="15"/>
      <c r="H58" s="15" t="s">
        <v>84</v>
      </c>
      <c r="I58" s="18" t="s">
        <v>88</v>
      </c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</row>
    <row r="59" ht="15.75" customHeight="1" spans="1:23">
      <c r="A59" s="19">
        <v>58</v>
      </c>
      <c r="B59" s="20" t="s">
        <v>185</v>
      </c>
      <c r="C59" s="21">
        <v>26110385</v>
      </c>
      <c r="D59" s="22" t="s">
        <v>254</v>
      </c>
      <c r="E59" s="20" t="s">
        <v>255</v>
      </c>
      <c r="F59" s="20" t="s">
        <v>256</v>
      </c>
      <c r="G59" s="20"/>
      <c r="H59" s="20" t="s">
        <v>84</v>
      </c>
      <c r="I59" s="23" t="s">
        <v>88</v>
      </c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</row>
    <row r="60" ht="15.75" customHeight="1" spans="1:23">
      <c r="A60" s="14">
        <v>59</v>
      </c>
      <c r="B60" s="15" t="s">
        <v>185</v>
      </c>
      <c r="C60" s="16">
        <v>26177510</v>
      </c>
      <c r="D60" s="17" t="s">
        <v>257</v>
      </c>
      <c r="E60" s="15" t="s">
        <v>258</v>
      </c>
      <c r="F60" s="15" t="s">
        <v>259</v>
      </c>
      <c r="G60" s="15"/>
      <c r="H60" s="15" t="s">
        <v>84</v>
      </c>
      <c r="I60" s="18" t="s">
        <v>88</v>
      </c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</row>
    <row r="61" ht="15.75" customHeight="1" spans="1:23">
      <c r="A61" s="19">
        <v>60</v>
      </c>
      <c r="B61" s="20" t="s">
        <v>260</v>
      </c>
      <c r="C61" s="21">
        <v>26183374</v>
      </c>
      <c r="D61" s="22" t="s">
        <v>52</v>
      </c>
      <c r="E61" s="20" t="s">
        <v>261</v>
      </c>
      <c r="F61" s="20" t="s">
        <v>262</v>
      </c>
      <c r="G61" s="20"/>
      <c r="H61" s="20" t="s">
        <v>84</v>
      </c>
      <c r="I61" s="23" t="s">
        <v>88</v>
      </c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</row>
    <row r="62" ht="15.75" customHeight="1" spans="1:23">
      <c r="A62" s="14">
        <v>61</v>
      </c>
      <c r="B62" s="15" t="s">
        <v>260</v>
      </c>
      <c r="C62" s="16">
        <v>26156261</v>
      </c>
      <c r="D62" s="17" t="s">
        <v>53</v>
      </c>
      <c r="E62" s="15" t="s">
        <v>263</v>
      </c>
      <c r="F62" s="15" t="s">
        <v>264</v>
      </c>
      <c r="G62" s="15"/>
      <c r="H62" s="15" t="s">
        <v>84</v>
      </c>
      <c r="I62" s="18" t="s">
        <v>85</v>
      </c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</row>
    <row r="63" ht="15.75" customHeight="1" spans="1:23">
      <c r="A63" s="19">
        <v>62</v>
      </c>
      <c r="B63" s="20" t="s">
        <v>260</v>
      </c>
      <c r="C63" s="21">
        <v>26110326</v>
      </c>
      <c r="D63" s="22" t="s">
        <v>265</v>
      </c>
      <c r="E63" s="20" t="s">
        <v>266</v>
      </c>
      <c r="F63" s="20" t="s">
        <v>267</v>
      </c>
      <c r="G63" s="20"/>
      <c r="H63" s="20" t="s">
        <v>84</v>
      </c>
      <c r="I63" s="23" t="s">
        <v>88</v>
      </c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</row>
    <row r="64" ht="15.75" customHeight="1" spans="1:23">
      <c r="A64" s="14">
        <v>63</v>
      </c>
      <c r="B64" s="15" t="s">
        <v>260</v>
      </c>
      <c r="C64" s="16">
        <v>26167301</v>
      </c>
      <c r="D64" s="17" t="s">
        <v>268</v>
      </c>
      <c r="E64" s="15" t="s">
        <v>269</v>
      </c>
      <c r="F64" s="15" t="s">
        <v>270</v>
      </c>
      <c r="G64" s="15"/>
      <c r="H64" s="15" t="s">
        <v>84</v>
      </c>
      <c r="I64" s="18" t="s">
        <v>88</v>
      </c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</row>
    <row r="65" ht="15.75" customHeight="1" spans="1:23">
      <c r="A65" s="19">
        <v>64</v>
      </c>
      <c r="B65" s="20" t="s">
        <v>260</v>
      </c>
      <c r="C65" s="21">
        <v>26111080</v>
      </c>
      <c r="D65" s="22" t="s">
        <v>271</v>
      </c>
      <c r="E65" s="20" t="s">
        <v>272</v>
      </c>
      <c r="F65" s="20" t="s">
        <v>273</v>
      </c>
      <c r="G65" s="20"/>
      <c r="H65" s="20" t="s">
        <v>106</v>
      </c>
      <c r="I65" s="23" t="s">
        <v>85</v>
      </c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</row>
    <row r="66" ht="15.75" customHeight="1" spans="1:23">
      <c r="A66" s="14">
        <v>65</v>
      </c>
      <c r="B66" s="15" t="s">
        <v>260</v>
      </c>
      <c r="C66" s="16">
        <v>26186306</v>
      </c>
      <c r="D66" s="17" t="s">
        <v>274</v>
      </c>
      <c r="E66" s="15" t="s">
        <v>275</v>
      </c>
      <c r="F66" s="15" t="s">
        <v>276</v>
      </c>
      <c r="G66" s="15"/>
      <c r="H66" s="15" t="s">
        <v>84</v>
      </c>
      <c r="I66" s="18" t="s">
        <v>88</v>
      </c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</row>
    <row r="67" ht="15.75" customHeight="1" spans="1:23">
      <c r="A67" s="19">
        <v>66</v>
      </c>
      <c r="B67" s="20" t="s">
        <v>260</v>
      </c>
      <c r="C67" s="21">
        <v>26215209</v>
      </c>
      <c r="D67" s="22" t="s">
        <v>277</v>
      </c>
      <c r="E67" s="20" t="s">
        <v>278</v>
      </c>
      <c r="F67" s="20" t="s">
        <v>279</v>
      </c>
      <c r="G67" s="20"/>
      <c r="H67" s="20" t="s">
        <v>84</v>
      </c>
      <c r="I67" s="23" t="s">
        <v>88</v>
      </c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</row>
    <row r="68" ht="15.75" customHeight="1" spans="1:23">
      <c r="A68" s="14">
        <v>67</v>
      </c>
      <c r="B68" s="15" t="s">
        <v>260</v>
      </c>
      <c r="C68" s="16">
        <v>26155028</v>
      </c>
      <c r="D68" s="17" t="s">
        <v>280</v>
      </c>
      <c r="E68" s="15" t="s">
        <v>281</v>
      </c>
      <c r="F68" s="15" t="s">
        <v>282</v>
      </c>
      <c r="G68" s="15"/>
      <c r="H68" s="15" t="s">
        <v>84</v>
      </c>
      <c r="I68" s="18" t="s">
        <v>88</v>
      </c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</row>
    <row r="69" ht="15.75" customHeight="1" spans="1:23">
      <c r="A69" s="19">
        <v>68</v>
      </c>
      <c r="B69" s="20" t="s">
        <v>260</v>
      </c>
      <c r="C69" s="21">
        <v>26108992</v>
      </c>
      <c r="D69" s="22" t="s">
        <v>283</v>
      </c>
      <c r="E69" s="20" t="s">
        <v>284</v>
      </c>
      <c r="F69" s="20" t="s">
        <v>285</v>
      </c>
      <c r="G69" s="20"/>
      <c r="H69" s="20" t="s">
        <v>84</v>
      </c>
      <c r="I69" s="23" t="s">
        <v>88</v>
      </c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</row>
    <row r="70" ht="15.75" customHeight="1" spans="1:23">
      <c r="A70" s="14">
        <v>69</v>
      </c>
      <c r="B70" s="15" t="s">
        <v>260</v>
      </c>
      <c r="C70" s="16">
        <v>26186071</v>
      </c>
      <c r="D70" s="17" t="s">
        <v>286</v>
      </c>
      <c r="E70" s="15" t="s">
        <v>287</v>
      </c>
      <c r="F70" s="15" t="s">
        <v>288</v>
      </c>
      <c r="G70" s="15"/>
      <c r="H70" s="15" t="s">
        <v>84</v>
      </c>
      <c r="I70" s="18" t="s">
        <v>88</v>
      </c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</row>
    <row r="71" ht="15.75" customHeight="1" spans="1:23">
      <c r="A71" s="19">
        <v>70</v>
      </c>
      <c r="B71" s="20" t="s">
        <v>289</v>
      </c>
      <c r="C71" s="21">
        <v>26156288</v>
      </c>
      <c r="D71" s="22" t="s">
        <v>55</v>
      </c>
      <c r="E71" s="20" t="s">
        <v>290</v>
      </c>
      <c r="F71" s="20" t="s">
        <v>291</v>
      </c>
      <c r="G71" s="20"/>
      <c r="H71" s="20" t="s">
        <v>84</v>
      </c>
      <c r="I71" s="23" t="s">
        <v>85</v>
      </c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</row>
    <row r="72" ht="15.75" customHeight="1" spans="1:23">
      <c r="A72" s="14">
        <v>71</v>
      </c>
      <c r="B72" s="15" t="s">
        <v>289</v>
      </c>
      <c r="C72" s="16">
        <v>26137690</v>
      </c>
      <c r="D72" s="17" t="s">
        <v>292</v>
      </c>
      <c r="E72" s="15" t="s">
        <v>293</v>
      </c>
      <c r="F72" s="15" t="s">
        <v>294</v>
      </c>
      <c r="G72" s="15"/>
      <c r="H72" s="15" t="s">
        <v>84</v>
      </c>
      <c r="I72" s="18" t="s">
        <v>88</v>
      </c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</row>
    <row r="73" ht="15.75" customHeight="1" spans="1:23">
      <c r="A73" s="19">
        <v>72</v>
      </c>
      <c r="B73" s="20" t="s">
        <v>289</v>
      </c>
      <c r="C73" s="21">
        <v>26158116</v>
      </c>
      <c r="D73" s="22" t="s">
        <v>295</v>
      </c>
      <c r="E73" s="20" t="s">
        <v>296</v>
      </c>
      <c r="F73" s="20" t="s">
        <v>297</v>
      </c>
      <c r="G73" s="20"/>
      <c r="H73" s="20" t="s">
        <v>84</v>
      </c>
      <c r="I73" s="23" t="s">
        <v>88</v>
      </c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</row>
    <row r="74" ht="15.75" customHeight="1" spans="1:23">
      <c r="A74" s="14">
        <v>73</v>
      </c>
      <c r="B74" s="15" t="s">
        <v>289</v>
      </c>
      <c r="C74" s="16">
        <v>26145146</v>
      </c>
      <c r="D74" s="17" t="s">
        <v>298</v>
      </c>
      <c r="E74" s="15" t="s">
        <v>299</v>
      </c>
      <c r="F74" s="15" t="s">
        <v>300</v>
      </c>
      <c r="G74" s="15"/>
      <c r="H74" s="15" t="s">
        <v>84</v>
      </c>
      <c r="I74" s="18" t="s">
        <v>88</v>
      </c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</row>
    <row r="75" ht="15.75" customHeight="1" spans="1:23">
      <c r="A75" s="19">
        <v>74</v>
      </c>
      <c r="B75" s="20" t="s">
        <v>289</v>
      </c>
      <c r="C75" s="21">
        <v>26109344</v>
      </c>
      <c r="D75" s="22" t="s">
        <v>301</v>
      </c>
      <c r="E75" s="20" t="s">
        <v>302</v>
      </c>
      <c r="F75" s="20" t="s">
        <v>303</v>
      </c>
      <c r="G75" s="20"/>
      <c r="H75" s="20" t="s">
        <v>106</v>
      </c>
      <c r="I75" s="23" t="s">
        <v>88</v>
      </c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</row>
    <row r="76" ht="15.75" customHeight="1" spans="1:23">
      <c r="A76" s="14">
        <v>75</v>
      </c>
      <c r="B76" s="15" t="s">
        <v>289</v>
      </c>
      <c r="C76" s="16">
        <v>26110920</v>
      </c>
      <c r="D76" s="17" t="s">
        <v>304</v>
      </c>
      <c r="E76" s="15" t="s">
        <v>305</v>
      </c>
      <c r="F76" s="15" t="s">
        <v>306</v>
      </c>
      <c r="G76" s="15"/>
      <c r="H76" s="15" t="s">
        <v>84</v>
      </c>
      <c r="I76" s="18" t="s">
        <v>88</v>
      </c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</row>
    <row r="77" ht="15.75" customHeight="1" spans="1:23">
      <c r="A77" s="19">
        <v>76</v>
      </c>
      <c r="B77" s="20" t="s">
        <v>289</v>
      </c>
      <c r="C77" s="21">
        <v>26183129</v>
      </c>
      <c r="D77" s="22" t="s">
        <v>307</v>
      </c>
      <c r="E77" s="20" t="s">
        <v>308</v>
      </c>
      <c r="F77" s="20" t="s">
        <v>309</v>
      </c>
      <c r="G77" s="20"/>
      <c r="H77" s="20" t="s">
        <v>106</v>
      </c>
      <c r="I77" s="23" t="s">
        <v>88</v>
      </c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</row>
    <row r="78" ht="15.75" customHeight="1" spans="1:23">
      <c r="A78" s="14">
        <v>77</v>
      </c>
      <c r="B78" s="15" t="s">
        <v>289</v>
      </c>
      <c r="C78" s="16">
        <v>26111748</v>
      </c>
      <c r="D78" s="17" t="s">
        <v>310</v>
      </c>
      <c r="E78" s="15" t="s">
        <v>311</v>
      </c>
      <c r="F78" s="15" t="s">
        <v>312</v>
      </c>
      <c r="G78" s="15"/>
      <c r="H78" s="15" t="s">
        <v>106</v>
      </c>
      <c r="I78" s="18" t="s">
        <v>88</v>
      </c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</row>
    <row r="79" ht="15.75" customHeight="1" spans="1:23">
      <c r="A79" s="19">
        <v>78</v>
      </c>
      <c r="B79" s="20" t="s">
        <v>289</v>
      </c>
      <c r="C79" s="21">
        <v>26179563</v>
      </c>
      <c r="D79" s="22" t="s">
        <v>313</v>
      </c>
      <c r="E79" s="20" t="s">
        <v>314</v>
      </c>
      <c r="F79" s="20" t="s">
        <v>315</v>
      </c>
      <c r="G79" s="20"/>
      <c r="H79" s="20" t="s">
        <v>84</v>
      </c>
      <c r="I79" s="23" t="s">
        <v>88</v>
      </c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</row>
    <row r="80" ht="15.75" customHeight="1" spans="1:23">
      <c r="A80" s="14">
        <v>79</v>
      </c>
      <c r="B80" s="15" t="s">
        <v>289</v>
      </c>
      <c r="C80" s="16">
        <v>26174715</v>
      </c>
      <c r="D80" s="17" t="s">
        <v>316</v>
      </c>
      <c r="E80" s="15" t="s">
        <v>317</v>
      </c>
      <c r="F80" s="15" t="s">
        <v>318</v>
      </c>
      <c r="G80" s="15"/>
      <c r="H80" s="15" t="s">
        <v>106</v>
      </c>
      <c r="I80" s="18" t="s">
        <v>88</v>
      </c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</row>
    <row r="81" ht="15.75" customHeight="1" spans="1:23">
      <c r="A81" s="19">
        <v>80</v>
      </c>
      <c r="B81" s="20" t="s">
        <v>289</v>
      </c>
      <c r="C81" s="21">
        <v>26177587</v>
      </c>
      <c r="D81" s="22" t="s">
        <v>319</v>
      </c>
      <c r="E81" s="20" t="s">
        <v>320</v>
      </c>
      <c r="F81" s="20" t="s">
        <v>321</v>
      </c>
      <c r="G81" s="20"/>
      <c r="H81" s="20" t="s">
        <v>106</v>
      </c>
      <c r="I81" s="23" t="s">
        <v>88</v>
      </c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</row>
    <row r="82" ht="15.75" customHeight="1" spans="1:23">
      <c r="A82" s="14">
        <v>81</v>
      </c>
      <c r="B82" s="15" t="s">
        <v>322</v>
      </c>
      <c r="C82" s="16">
        <v>26191296</v>
      </c>
      <c r="D82" s="17" t="s">
        <v>323</v>
      </c>
      <c r="E82" s="15" t="s">
        <v>324</v>
      </c>
      <c r="F82" s="15" t="s">
        <v>325</v>
      </c>
      <c r="G82" s="15"/>
      <c r="H82" s="15" t="s">
        <v>84</v>
      </c>
      <c r="I82" s="18" t="s">
        <v>85</v>
      </c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</row>
    <row r="83" ht="15.75" customHeight="1" spans="1:23">
      <c r="A83" s="19">
        <v>82</v>
      </c>
      <c r="B83" s="20" t="s">
        <v>322</v>
      </c>
      <c r="C83" s="21">
        <v>26183838</v>
      </c>
      <c r="D83" s="22" t="s">
        <v>326</v>
      </c>
      <c r="E83" s="20" t="s">
        <v>327</v>
      </c>
      <c r="F83" s="20" t="s">
        <v>328</v>
      </c>
      <c r="G83" s="20"/>
      <c r="H83" s="20" t="s">
        <v>84</v>
      </c>
      <c r="I83" s="23" t="s">
        <v>88</v>
      </c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</row>
    <row r="84" ht="15.75" customHeight="1" spans="1:23">
      <c r="A84" s="14">
        <v>83</v>
      </c>
      <c r="B84" s="15" t="s">
        <v>322</v>
      </c>
      <c r="C84" s="16">
        <v>26187060</v>
      </c>
      <c r="D84" s="17" t="s">
        <v>329</v>
      </c>
      <c r="E84" s="15" t="s">
        <v>330</v>
      </c>
      <c r="F84" s="15" t="s">
        <v>331</v>
      </c>
      <c r="G84" s="15"/>
      <c r="H84" s="15" t="s">
        <v>84</v>
      </c>
      <c r="I84" s="18" t="s">
        <v>85</v>
      </c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</row>
    <row r="85" ht="15.75" customHeight="1" spans="1:23">
      <c r="A85" s="19">
        <v>84</v>
      </c>
      <c r="B85" s="20" t="s">
        <v>322</v>
      </c>
      <c r="C85" s="21">
        <v>26186080</v>
      </c>
      <c r="D85" s="22" t="s">
        <v>61</v>
      </c>
      <c r="E85" s="20" t="s">
        <v>332</v>
      </c>
      <c r="F85" s="20" t="s">
        <v>333</v>
      </c>
      <c r="G85" s="20"/>
      <c r="H85" s="20" t="s">
        <v>84</v>
      </c>
      <c r="I85" s="23" t="s">
        <v>85</v>
      </c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</row>
    <row r="86" ht="15.75" customHeight="1" spans="1:23">
      <c r="A86" s="14">
        <v>85</v>
      </c>
      <c r="B86" s="15" t="s">
        <v>322</v>
      </c>
      <c r="C86" s="16">
        <v>26109689</v>
      </c>
      <c r="D86" s="17" t="s">
        <v>334</v>
      </c>
      <c r="E86" s="15" t="s">
        <v>335</v>
      </c>
      <c r="F86" s="15" t="s">
        <v>336</v>
      </c>
      <c r="G86" s="15"/>
      <c r="H86" s="15" t="s">
        <v>84</v>
      </c>
      <c r="I86" s="18" t="s">
        <v>88</v>
      </c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</row>
    <row r="87" ht="15.75" customHeight="1" spans="1:23">
      <c r="A87" s="19">
        <v>86</v>
      </c>
      <c r="B87" s="20" t="s">
        <v>322</v>
      </c>
      <c r="C87" s="21">
        <v>26111659</v>
      </c>
      <c r="D87" s="22" t="s">
        <v>337</v>
      </c>
      <c r="E87" s="20" t="s">
        <v>338</v>
      </c>
      <c r="F87" s="20" t="s">
        <v>339</v>
      </c>
      <c r="G87" s="20"/>
      <c r="H87" s="20" t="s">
        <v>84</v>
      </c>
      <c r="I87" s="23" t="s">
        <v>88</v>
      </c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</row>
    <row r="88" ht="15.75" customHeight="1" spans="1:23">
      <c r="A88" s="14">
        <v>87</v>
      </c>
      <c r="B88" s="15" t="s">
        <v>322</v>
      </c>
      <c r="C88" s="16">
        <v>26174758</v>
      </c>
      <c r="D88" s="17" t="s">
        <v>340</v>
      </c>
      <c r="E88" s="15" t="s">
        <v>341</v>
      </c>
      <c r="F88" s="15" t="s">
        <v>342</v>
      </c>
      <c r="G88" s="15"/>
      <c r="H88" s="15" t="s">
        <v>84</v>
      </c>
      <c r="I88" s="18" t="s">
        <v>88</v>
      </c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</row>
    <row r="89" ht="15.75" customHeight="1" spans="1:23">
      <c r="A89" s="19">
        <v>88</v>
      </c>
      <c r="B89" s="20" t="s">
        <v>322</v>
      </c>
      <c r="C89" s="21">
        <v>26182246</v>
      </c>
      <c r="D89" s="22" t="s">
        <v>343</v>
      </c>
      <c r="E89" s="20" t="s">
        <v>344</v>
      </c>
      <c r="F89" s="20" t="s">
        <v>345</v>
      </c>
      <c r="G89" s="20"/>
      <c r="H89" s="20" t="s">
        <v>84</v>
      </c>
      <c r="I89" s="23" t="s">
        <v>88</v>
      </c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</row>
    <row r="90" ht="15.75" customHeight="1" spans="1:23">
      <c r="A90" s="14">
        <v>89</v>
      </c>
      <c r="B90" s="15" t="s">
        <v>322</v>
      </c>
      <c r="C90" s="16">
        <v>26186101</v>
      </c>
      <c r="D90" s="17" t="s">
        <v>346</v>
      </c>
      <c r="E90" s="15" t="s">
        <v>347</v>
      </c>
      <c r="F90" s="15" t="s">
        <v>348</v>
      </c>
      <c r="G90" s="15"/>
      <c r="H90" s="15" t="s">
        <v>84</v>
      </c>
      <c r="I90" s="18" t="s">
        <v>88</v>
      </c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</row>
    <row r="91" ht="15.75" customHeight="1" spans="1:23">
      <c r="A91" s="19">
        <v>90</v>
      </c>
      <c r="B91" s="20" t="s">
        <v>322</v>
      </c>
      <c r="C91" s="21">
        <v>26109212</v>
      </c>
      <c r="D91" s="22" t="s">
        <v>349</v>
      </c>
      <c r="E91" s="20" t="s">
        <v>350</v>
      </c>
      <c r="F91" s="20" t="s">
        <v>351</v>
      </c>
      <c r="G91" s="20"/>
      <c r="H91" s="20" t="s">
        <v>84</v>
      </c>
      <c r="I91" s="23" t="s">
        <v>88</v>
      </c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</row>
    <row r="92" ht="15.75" customHeight="1" spans="1:23">
      <c r="A92" s="14">
        <v>91</v>
      </c>
      <c r="B92" s="15" t="s">
        <v>322</v>
      </c>
      <c r="C92" s="16">
        <v>26111543</v>
      </c>
      <c r="D92" s="17" t="s">
        <v>352</v>
      </c>
      <c r="E92" s="15" t="s">
        <v>353</v>
      </c>
      <c r="F92" s="15" t="s">
        <v>354</v>
      </c>
      <c r="G92" s="15"/>
      <c r="H92" s="15" t="s">
        <v>84</v>
      </c>
      <c r="I92" s="18" t="s">
        <v>88</v>
      </c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</row>
    <row r="93" ht="15.75" customHeight="1" spans="1:23">
      <c r="A93" s="19">
        <v>92</v>
      </c>
      <c r="B93" s="20" t="s">
        <v>322</v>
      </c>
      <c r="C93" s="21">
        <v>26108844</v>
      </c>
      <c r="D93" s="22" t="s">
        <v>355</v>
      </c>
      <c r="E93" s="20" t="s">
        <v>356</v>
      </c>
      <c r="F93" s="20" t="s">
        <v>357</v>
      </c>
      <c r="G93" s="20"/>
      <c r="H93" s="20" t="s">
        <v>84</v>
      </c>
      <c r="I93" s="23" t="s">
        <v>85</v>
      </c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</row>
    <row r="94" ht="15.75" customHeight="1" spans="1:23">
      <c r="A94" s="14">
        <v>93</v>
      </c>
      <c r="B94" s="15" t="s">
        <v>322</v>
      </c>
      <c r="C94" s="16">
        <v>26111292</v>
      </c>
      <c r="D94" s="17" t="s">
        <v>358</v>
      </c>
      <c r="E94" s="15" t="s">
        <v>359</v>
      </c>
      <c r="F94" s="15" t="s">
        <v>360</v>
      </c>
      <c r="G94" s="15"/>
      <c r="H94" s="15" t="s">
        <v>106</v>
      </c>
      <c r="I94" s="18" t="s">
        <v>85</v>
      </c>
      <c r="J94" s="13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  <c r="W94" s="13"/>
    </row>
    <row r="95" ht="15.75" customHeight="1" spans="1:23">
      <c r="A95" s="19">
        <v>94</v>
      </c>
      <c r="B95" s="20" t="s">
        <v>322</v>
      </c>
      <c r="C95" s="21">
        <v>26111381</v>
      </c>
      <c r="D95" s="22" t="s">
        <v>361</v>
      </c>
      <c r="E95" s="20" t="s">
        <v>362</v>
      </c>
      <c r="F95" s="20" t="s">
        <v>363</v>
      </c>
      <c r="G95" s="20"/>
      <c r="H95" s="20" t="s">
        <v>364</v>
      </c>
      <c r="I95" s="23" t="s">
        <v>85</v>
      </c>
      <c r="J95" s="13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</row>
    <row r="96" ht="15.75" customHeight="1" spans="1:23">
      <c r="A96" s="14">
        <v>95</v>
      </c>
      <c r="B96" s="15" t="s">
        <v>322</v>
      </c>
      <c r="C96" s="16">
        <v>26108763</v>
      </c>
      <c r="D96" s="17" t="s">
        <v>365</v>
      </c>
      <c r="E96" s="15" t="s">
        <v>366</v>
      </c>
      <c r="F96" s="15" t="s">
        <v>367</v>
      </c>
      <c r="G96" s="15"/>
      <c r="H96" s="15" t="s">
        <v>84</v>
      </c>
      <c r="I96" s="18" t="s">
        <v>88</v>
      </c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</row>
    <row r="97" ht="15.75" customHeight="1" spans="1:23">
      <c r="A97" s="19">
        <v>96</v>
      </c>
      <c r="B97" s="20" t="s">
        <v>322</v>
      </c>
      <c r="C97" s="21">
        <v>26111152</v>
      </c>
      <c r="D97" s="22" t="s">
        <v>368</v>
      </c>
      <c r="E97" s="20" t="s">
        <v>369</v>
      </c>
      <c r="F97" s="20" t="s">
        <v>370</v>
      </c>
      <c r="G97" s="20"/>
      <c r="H97" s="20" t="s">
        <v>84</v>
      </c>
      <c r="I97" s="23" t="s">
        <v>88</v>
      </c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</row>
    <row r="98" ht="15.75" customHeight="1" spans="1:23">
      <c r="A98" s="14">
        <v>97</v>
      </c>
      <c r="B98" s="15" t="s">
        <v>322</v>
      </c>
      <c r="C98" s="16">
        <v>26109298</v>
      </c>
      <c r="D98" s="17" t="s">
        <v>371</v>
      </c>
      <c r="E98" s="15" t="s">
        <v>372</v>
      </c>
      <c r="F98" s="15" t="s">
        <v>373</v>
      </c>
      <c r="G98" s="15"/>
      <c r="H98" s="15" t="s">
        <v>84</v>
      </c>
      <c r="I98" s="18" t="s">
        <v>88</v>
      </c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</row>
    <row r="99" ht="15.75" customHeight="1" spans="1:23">
      <c r="A99" s="19">
        <v>98</v>
      </c>
      <c r="B99" s="20" t="s">
        <v>322</v>
      </c>
      <c r="C99" s="21">
        <v>26109581</v>
      </c>
      <c r="D99" s="22" t="s">
        <v>374</v>
      </c>
      <c r="E99" s="20" t="s">
        <v>375</v>
      </c>
      <c r="F99" s="20" t="s">
        <v>376</v>
      </c>
      <c r="G99" s="20"/>
      <c r="H99" s="20" t="s">
        <v>84</v>
      </c>
      <c r="I99" s="23" t="s">
        <v>88</v>
      </c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</row>
    <row r="100" ht="15.75" customHeight="1" spans="1:23">
      <c r="A100" s="14">
        <v>99</v>
      </c>
      <c r="B100" s="15" t="s">
        <v>322</v>
      </c>
      <c r="C100" s="16">
        <v>26147610</v>
      </c>
      <c r="D100" s="17" t="s">
        <v>377</v>
      </c>
      <c r="E100" s="15" t="s">
        <v>378</v>
      </c>
      <c r="F100" s="15" t="s">
        <v>379</v>
      </c>
      <c r="G100" s="15"/>
      <c r="H100" s="15" t="s">
        <v>84</v>
      </c>
      <c r="I100" s="18" t="s">
        <v>88</v>
      </c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</row>
    <row r="101" ht="15.75" customHeight="1" spans="1:23">
      <c r="A101" s="19">
        <v>100</v>
      </c>
      <c r="B101" s="20" t="s">
        <v>322</v>
      </c>
      <c r="C101" s="21">
        <v>26171457</v>
      </c>
      <c r="D101" s="22" t="s">
        <v>380</v>
      </c>
      <c r="E101" s="20" t="s">
        <v>381</v>
      </c>
      <c r="F101" s="20" t="s">
        <v>382</v>
      </c>
      <c r="G101" s="20"/>
      <c r="H101" s="20" t="s">
        <v>84</v>
      </c>
      <c r="I101" s="23" t="s">
        <v>88</v>
      </c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</row>
    <row r="102" ht="15.75" customHeight="1" spans="1:23">
      <c r="A102" s="14">
        <v>101</v>
      </c>
      <c r="B102" s="15" t="s">
        <v>322</v>
      </c>
      <c r="C102" s="16">
        <v>26111233</v>
      </c>
      <c r="D102" s="17" t="s">
        <v>383</v>
      </c>
      <c r="E102" s="15" t="s">
        <v>384</v>
      </c>
      <c r="F102" s="15" t="s">
        <v>385</v>
      </c>
      <c r="G102" s="15"/>
      <c r="H102" s="15" t="s">
        <v>84</v>
      </c>
      <c r="I102" s="18" t="s">
        <v>88</v>
      </c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</row>
    <row r="103" ht="15.75" customHeight="1" spans="1:23">
      <c r="A103" s="19">
        <v>102</v>
      </c>
      <c r="B103" s="20" t="s">
        <v>322</v>
      </c>
      <c r="C103" s="21">
        <v>26109794</v>
      </c>
      <c r="D103" s="22" t="s">
        <v>386</v>
      </c>
      <c r="E103" s="20" t="s">
        <v>387</v>
      </c>
      <c r="F103" s="20" t="s">
        <v>388</v>
      </c>
      <c r="G103" s="20"/>
      <c r="H103" s="20" t="s">
        <v>106</v>
      </c>
      <c r="I103" s="23" t="s">
        <v>88</v>
      </c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</row>
    <row r="104" ht="15.75" customHeight="1" spans="1:23">
      <c r="A104" s="14">
        <v>103</v>
      </c>
      <c r="B104" s="15" t="s">
        <v>322</v>
      </c>
      <c r="C104" s="16">
        <v>26109891</v>
      </c>
      <c r="D104" s="17" t="s">
        <v>389</v>
      </c>
      <c r="E104" s="15" t="s">
        <v>390</v>
      </c>
      <c r="F104" s="15" t="s">
        <v>391</v>
      </c>
      <c r="G104" s="15"/>
      <c r="H104" s="15" t="s">
        <v>84</v>
      </c>
      <c r="I104" s="18" t="s">
        <v>88</v>
      </c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</row>
    <row r="105" ht="15.75" customHeight="1" spans="1:23">
      <c r="A105" s="19">
        <v>104</v>
      </c>
      <c r="B105" s="20" t="s">
        <v>392</v>
      </c>
      <c r="C105" s="21">
        <v>26191300</v>
      </c>
      <c r="D105" s="22" t="s">
        <v>393</v>
      </c>
      <c r="E105" s="20" t="s">
        <v>394</v>
      </c>
      <c r="F105" s="20" t="s">
        <v>395</v>
      </c>
      <c r="G105" s="20"/>
      <c r="H105" s="20" t="s">
        <v>84</v>
      </c>
      <c r="I105" s="23" t="s">
        <v>85</v>
      </c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</row>
    <row r="106" ht="15.75" customHeight="1" spans="1:23">
      <c r="A106" s="14">
        <v>105</v>
      </c>
      <c r="B106" s="15" t="s">
        <v>392</v>
      </c>
      <c r="C106" s="16">
        <v>26137739</v>
      </c>
      <c r="D106" s="17" t="s">
        <v>396</v>
      </c>
      <c r="E106" s="15" t="s">
        <v>397</v>
      </c>
      <c r="F106" s="15" t="s">
        <v>398</v>
      </c>
      <c r="G106" s="15"/>
      <c r="H106" s="15" t="s">
        <v>84</v>
      </c>
      <c r="I106" s="18" t="s">
        <v>88</v>
      </c>
      <c r="J106" s="13"/>
      <c r="K106" s="13"/>
      <c r="L106" s="13"/>
      <c r="M106" s="13"/>
      <c r="N106" s="13"/>
      <c r="O106" s="13"/>
      <c r="P106" s="13"/>
      <c r="Q106" s="13"/>
      <c r="R106" s="13"/>
      <c r="S106" s="13"/>
      <c r="T106" s="13"/>
      <c r="U106" s="13"/>
      <c r="V106" s="13"/>
      <c r="W106" s="13"/>
    </row>
    <row r="107" ht="15.75" customHeight="1" spans="1:23">
      <c r="A107" s="19">
        <v>106</v>
      </c>
      <c r="B107" s="20" t="s">
        <v>392</v>
      </c>
      <c r="C107" s="21">
        <v>26187078</v>
      </c>
      <c r="D107" s="22" t="s">
        <v>399</v>
      </c>
      <c r="E107" s="20" t="s">
        <v>400</v>
      </c>
      <c r="F107" s="20" t="s">
        <v>401</v>
      </c>
      <c r="G107" s="20"/>
      <c r="H107" s="20" t="s">
        <v>84</v>
      </c>
      <c r="I107" s="23" t="s">
        <v>88</v>
      </c>
      <c r="J107" s="13"/>
      <c r="K107" s="13"/>
      <c r="L107" s="13"/>
      <c r="M107" s="13"/>
      <c r="N107" s="13"/>
      <c r="O107" s="13"/>
      <c r="P107" s="13"/>
      <c r="Q107" s="13"/>
      <c r="R107" s="13"/>
      <c r="S107" s="13"/>
      <c r="T107" s="13"/>
      <c r="U107" s="13"/>
      <c r="V107" s="13"/>
      <c r="W107" s="13"/>
    </row>
    <row r="108" ht="15.75" customHeight="1" spans="1:23">
      <c r="A108" s="14">
        <v>107</v>
      </c>
      <c r="B108" s="15" t="s">
        <v>392</v>
      </c>
      <c r="C108" s="16">
        <v>26192420</v>
      </c>
      <c r="D108" s="17" t="s">
        <v>402</v>
      </c>
      <c r="E108" s="15" t="s">
        <v>403</v>
      </c>
      <c r="F108" s="15" t="s">
        <v>404</v>
      </c>
      <c r="G108" s="15"/>
      <c r="H108" s="15" t="s">
        <v>84</v>
      </c>
      <c r="I108" s="18" t="s">
        <v>85</v>
      </c>
      <c r="J108" s="13"/>
      <c r="K108" s="13"/>
      <c r="L108" s="13"/>
      <c r="M108" s="13"/>
      <c r="N108" s="13"/>
      <c r="O108" s="13"/>
      <c r="P108" s="13"/>
      <c r="Q108" s="13"/>
      <c r="R108" s="13"/>
      <c r="S108" s="13"/>
      <c r="T108" s="13"/>
      <c r="U108" s="13"/>
      <c r="V108" s="13"/>
      <c r="W108" s="13"/>
    </row>
    <row r="109" ht="15.75" customHeight="1" spans="1:23">
      <c r="A109" s="19">
        <v>108</v>
      </c>
      <c r="B109" s="20" t="s">
        <v>392</v>
      </c>
      <c r="C109" s="21">
        <v>26108577</v>
      </c>
      <c r="D109" s="22" t="s">
        <v>405</v>
      </c>
      <c r="E109" s="20" t="s">
        <v>406</v>
      </c>
      <c r="F109" s="20" t="s">
        <v>407</v>
      </c>
      <c r="G109" s="20"/>
      <c r="H109" s="20" t="s">
        <v>84</v>
      </c>
      <c r="I109" s="23" t="s">
        <v>88</v>
      </c>
      <c r="J109" s="13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</row>
    <row r="110" ht="15.75" customHeight="1" spans="1:23">
      <c r="A110" s="14">
        <v>109</v>
      </c>
      <c r="B110" s="15" t="s">
        <v>392</v>
      </c>
      <c r="C110" s="16">
        <v>26187663</v>
      </c>
      <c r="D110" s="17" t="s">
        <v>67</v>
      </c>
      <c r="E110" s="15" t="s">
        <v>408</v>
      </c>
      <c r="F110" s="15" t="s">
        <v>409</v>
      </c>
      <c r="G110" s="15"/>
      <c r="H110" s="15" t="s">
        <v>84</v>
      </c>
      <c r="I110" s="18" t="s">
        <v>85</v>
      </c>
      <c r="J110" s="13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</row>
    <row r="111" ht="15.75" customHeight="1" spans="1:23">
      <c r="A111" s="19">
        <v>110</v>
      </c>
      <c r="B111" s="20" t="s">
        <v>392</v>
      </c>
      <c r="C111" s="21">
        <v>26109328</v>
      </c>
      <c r="D111" s="22" t="s">
        <v>410</v>
      </c>
      <c r="E111" s="20" t="s">
        <v>411</v>
      </c>
      <c r="F111" s="20" t="s">
        <v>412</v>
      </c>
      <c r="G111" s="20"/>
      <c r="H111" s="20" t="s">
        <v>84</v>
      </c>
      <c r="I111" s="23" t="s">
        <v>88</v>
      </c>
      <c r="J111" s="13"/>
      <c r="K111" s="13"/>
      <c r="L111" s="13"/>
      <c r="M111" s="13"/>
      <c r="N111" s="13"/>
      <c r="O111" s="13"/>
      <c r="P111" s="13"/>
      <c r="Q111" s="13"/>
      <c r="R111" s="13"/>
      <c r="S111" s="13"/>
      <c r="T111" s="13"/>
      <c r="U111" s="13"/>
      <c r="V111" s="13"/>
      <c r="W111" s="13"/>
    </row>
    <row r="112" ht="15.75" customHeight="1" spans="1:23">
      <c r="A112" s="14">
        <v>111</v>
      </c>
      <c r="B112" s="15" t="s">
        <v>392</v>
      </c>
      <c r="C112" s="16">
        <v>26111446</v>
      </c>
      <c r="D112" s="17" t="s">
        <v>413</v>
      </c>
      <c r="E112" s="15" t="s">
        <v>414</v>
      </c>
      <c r="F112" s="15" t="s">
        <v>415</v>
      </c>
      <c r="G112" s="15"/>
      <c r="H112" s="15" t="s">
        <v>84</v>
      </c>
      <c r="I112" s="18" t="s">
        <v>88</v>
      </c>
      <c r="J112" s="13"/>
      <c r="K112" s="13"/>
      <c r="L112" s="13"/>
      <c r="M112" s="13"/>
      <c r="N112" s="13"/>
      <c r="O112" s="13"/>
      <c r="P112" s="13"/>
      <c r="Q112" s="13"/>
      <c r="R112" s="13"/>
      <c r="S112" s="13"/>
      <c r="T112" s="13"/>
      <c r="U112" s="13"/>
      <c r="V112" s="13"/>
      <c r="W112" s="13"/>
    </row>
    <row r="113" ht="15.75" customHeight="1" spans="1:23">
      <c r="A113" s="19">
        <v>112</v>
      </c>
      <c r="B113" s="20" t="s">
        <v>392</v>
      </c>
      <c r="C113" s="21">
        <v>26111578</v>
      </c>
      <c r="D113" s="22" t="s">
        <v>416</v>
      </c>
      <c r="E113" s="20" t="s">
        <v>417</v>
      </c>
      <c r="F113" s="20" t="s">
        <v>418</v>
      </c>
      <c r="G113" s="20"/>
      <c r="H113" s="20" t="s">
        <v>84</v>
      </c>
      <c r="I113" s="23" t="s">
        <v>85</v>
      </c>
      <c r="J113" s="13"/>
      <c r="K113" s="13"/>
      <c r="L113" s="13"/>
      <c r="M113" s="13"/>
      <c r="N113" s="13"/>
      <c r="O113" s="13"/>
      <c r="P113" s="13"/>
      <c r="Q113" s="13"/>
      <c r="R113" s="13"/>
      <c r="S113" s="13"/>
      <c r="T113" s="13"/>
      <c r="U113" s="13"/>
      <c r="V113" s="13"/>
      <c r="W113" s="13"/>
    </row>
    <row r="114" ht="15.75" customHeight="1" spans="1:23">
      <c r="A114" s="14">
        <v>113</v>
      </c>
      <c r="B114" s="15" t="s">
        <v>392</v>
      </c>
      <c r="C114" s="16">
        <v>26109476</v>
      </c>
      <c r="D114" s="17" t="s">
        <v>419</v>
      </c>
      <c r="E114" s="15" t="s">
        <v>420</v>
      </c>
      <c r="F114" s="15" t="s">
        <v>421</v>
      </c>
      <c r="G114" s="15"/>
      <c r="H114" s="15" t="s">
        <v>84</v>
      </c>
      <c r="I114" s="18" t="s">
        <v>88</v>
      </c>
      <c r="J114" s="13"/>
      <c r="K114" s="13"/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/>
    </row>
    <row r="115" ht="15.75" customHeight="1" spans="1:23">
      <c r="A115" s="19">
        <v>114</v>
      </c>
      <c r="B115" s="20" t="s">
        <v>392</v>
      </c>
      <c r="C115" s="21">
        <v>26155036</v>
      </c>
      <c r="D115" s="22" t="s">
        <v>422</v>
      </c>
      <c r="E115" s="20" t="s">
        <v>423</v>
      </c>
      <c r="F115" s="20" t="s">
        <v>424</v>
      </c>
      <c r="G115" s="20"/>
      <c r="H115" s="20" t="s">
        <v>84</v>
      </c>
      <c r="I115" s="23" t="s">
        <v>85</v>
      </c>
      <c r="J115" s="13"/>
      <c r="K115" s="13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</row>
    <row r="116" ht="15.75" customHeight="1" spans="1:23">
      <c r="A116" s="14">
        <v>115</v>
      </c>
      <c r="B116" s="15" t="s">
        <v>392</v>
      </c>
      <c r="C116" s="16">
        <v>26155044</v>
      </c>
      <c r="D116" s="17" t="s">
        <v>425</v>
      </c>
      <c r="E116" s="15" t="s">
        <v>426</v>
      </c>
      <c r="F116" s="15" t="s">
        <v>427</v>
      </c>
      <c r="G116" s="15"/>
      <c r="H116" s="15" t="s">
        <v>84</v>
      </c>
      <c r="I116" s="18" t="s">
        <v>88</v>
      </c>
      <c r="J116" s="13"/>
      <c r="K116" s="13"/>
      <c r="L116" s="13"/>
      <c r="M116" s="13"/>
      <c r="N116" s="13"/>
      <c r="O116" s="13"/>
      <c r="P116" s="13"/>
      <c r="Q116" s="13"/>
      <c r="R116" s="13"/>
      <c r="S116" s="13"/>
      <c r="T116" s="13"/>
      <c r="U116" s="13"/>
      <c r="V116" s="13"/>
      <c r="W116" s="13"/>
    </row>
    <row r="117" ht="15.75" customHeight="1" spans="1:23">
      <c r="A117" s="19">
        <v>116</v>
      </c>
      <c r="B117" s="20" t="s">
        <v>392</v>
      </c>
      <c r="C117" s="21">
        <v>26109220</v>
      </c>
      <c r="D117" s="22" t="s">
        <v>428</v>
      </c>
      <c r="E117" s="20" t="s">
        <v>429</v>
      </c>
      <c r="F117" s="20" t="s">
        <v>430</v>
      </c>
      <c r="G117" s="20"/>
      <c r="H117" s="20" t="s">
        <v>84</v>
      </c>
      <c r="I117" s="23" t="s">
        <v>88</v>
      </c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</row>
    <row r="118" ht="15.75" customHeight="1" spans="1:23">
      <c r="A118" s="14">
        <v>117</v>
      </c>
      <c r="B118" s="15" t="s">
        <v>392</v>
      </c>
      <c r="C118" s="16">
        <v>26174731</v>
      </c>
      <c r="D118" s="17" t="s">
        <v>431</v>
      </c>
      <c r="E118" s="15" t="s">
        <v>432</v>
      </c>
      <c r="F118" s="15" t="s">
        <v>433</v>
      </c>
      <c r="G118" s="15"/>
      <c r="H118" s="15" t="s">
        <v>84</v>
      </c>
      <c r="I118" s="18" t="s">
        <v>88</v>
      </c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</row>
    <row r="119" ht="15.75" customHeight="1" spans="1:23">
      <c r="A119" s="19">
        <v>118</v>
      </c>
      <c r="B119" s="20" t="s">
        <v>392</v>
      </c>
      <c r="C119" s="21">
        <v>26110822</v>
      </c>
      <c r="D119" s="22" t="s">
        <v>434</v>
      </c>
      <c r="E119" s="20" t="s">
        <v>435</v>
      </c>
      <c r="F119" s="20" t="s">
        <v>436</v>
      </c>
      <c r="G119" s="20"/>
      <c r="H119" s="20" t="s">
        <v>84</v>
      </c>
      <c r="I119" s="23" t="s">
        <v>88</v>
      </c>
      <c r="J119" s="13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</row>
    <row r="120" ht="15.75" customHeight="1" spans="1:23">
      <c r="A120" s="14">
        <v>119</v>
      </c>
      <c r="B120" s="15" t="s">
        <v>392</v>
      </c>
      <c r="C120" s="16">
        <v>26111179</v>
      </c>
      <c r="D120" s="17" t="s">
        <v>437</v>
      </c>
      <c r="E120" s="15" t="s">
        <v>438</v>
      </c>
      <c r="F120" s="15" t="s">
        <v>439</v>
      </c>
      <c r="G120" s="15"/>
      <c r="H120" s="15" t="s">
        <v>84</v>
      </c>
      <c r="I120" s="18" t="s">
        <v>88</v>
      </c>
      <c r="J120" s="13"/>
      <c r="K120" s="13"/>
      <c r="L120" s="13"/>
      <c r="M120" s="13"/>
      <c r="N120" s="13"/>
      <c r="O120" s="13"/>
      <c r="P120" s="13"/>
      <c r="Q120" s="13"/>
      <c r="R120" s="13"/>
      <c r="S120" s="13"/>
      <c r="T120" s="13"/>
      <c r="U120" s="13"/>
      <c r="V120" s="13"/>
      <c r="W120" s="13"/>
    </row>
    <row r="121" ht="15.75" customHeight="1" spans="1:23">
      <c r="A121" s="24">
        <v>120</v>
      </c>
      <c r="B121" s="25" t="s">
        <v>392</v>
      </c>
      <c r="C121" s="26">
        <v>26137755</v>
      </c>
      <c r="D121" s="27" t="s">
        <v>440</v>
      </c>
      <c r="E121" s="25" t="s">
        <v>441</v>
      </c>
      <c r="F121" s="25" t="s">
        <v>442</v>
      </c>
      <c r="G121" s="20"/>
      <c r="H121" s="20" t="s">
        <v>84</v>
      </c>
      <c r="I121" s="23" t="s">
        <v>88</v>
      </c>
      <c r="J121" s="13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</row>
    <row r="122" ht="15.75" customHeight="1" spans="1:23">
      <c r="A122" s="14">
        <v>121</v>
      </c>
      <c r="B122" s="15" t="s">
        <v>392</v>
      </c>
      <c r="C122" s="16">
        <v>26183110</v>
      </c>
      <c r="D122" s="17" t="s">
        <v>443</v>
      </c>
      <c r="E122" s="15" t="s">
        <v>444</v>
      </c>
      <c r="F122" s="15" t="s">
        <v>445</v>
      </c>
      <c r="G122" s="15"/>
      <c r="H122" s="15" t="s">
        <v>84</v>
      </c>
      <c r="I122" s="18" t="s">
        <v>88</v>
      </c>
      <c r="J122" s="13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</row>
    <row r="123" ht="15.75" customHeight="1" spans="1:23">
      <c r="A123" s="19">
        <v>122</v>
      </c>
      <c r="B123" s="20" t="s">
        <v>392</v>
      </c>
      <c r="C123" s="21">
        <v>26188155</v>
      </c>
      <c r="D123" s="22" t="s">
        <v>446</v>
      </c>
      <c r="E123" s="20" t="s">
        <v>447</v>
      </c>
      <c r="F123" s="20" t="s">
        <v>448</v>
      </c>
      <c r="G123" s="20"/>
      <c r="H123" s="20" t="s">
        <v>84</v>
      </c>
      <c r="I123" s="23" t="s">
        <v>88</v>
      </c>
      <c r="J123" s="13"/>
      <c r="K123" s="13"/>
      <c r="L123" s="13"/>
      <c r="M123" s="13"/>
      <c r="N123" s="13"/>
      <c r="O123" s="13"/>
      <c r="P123" s="13"/>
      <c r="Q123" s="13"/>
      <c r="R123" s="13"/>
      <c r="S123" s="13"/>
      <c r="T123" s="13"/>
      <c r="U123" s="13"/>
      <c r="V123" s="13"/>
      <c r="W123" s="13"/>
    </row>
    <row r="124" ht="15.75" customHeight="1" spans="1:23">
      <c r="A124" s="14">
        <v>123</v>
      </c>
      <c r="B124" s="15" t="s">
        <v>392</v>
      </c>
      <c r="C124" s="16">
        <v>26179571</v>
      </c>
      <c r="D124" s="17" t="s">
        <v>449</v>
      </c>
      <c r="E124" s="15" t="s">
        <v>450</v>
      </c>
      <c r="F124" s="15" t="s">
        <v>451</v>
      </c>
      <c r="G124" s="15"/>
      <c r="H124" s="15" t="s">
        <v>84</v>
      </c>
      <c r="I124" s="18" t="s">
        <v>88</v>
      </c>
      <c r="J124" s="13"/>
      <c r="K124" s="13"/>
      <c r="L124" s="13"/>
      <c r="M124" s="13"/>
      <c r="N124" s="13"/>
      <c r="O124" s="13"/>
      <c r="P124" s="13"/>
      <c r="Q124" s="13"/>
      <c r="R124" s="13"/>
      <c r="S124" s="13"/>
      <c r="T124" s="13"/>
      <c r="U124" s="13"/>
      <c r="V124" s="13"/>
      <c r="W124" s="13"/>
    </row>
    <row r="125" ht="15.75" customHeight="1" spans="1:23">
      <c r="A125" s="19">
        <v>124</v>
      </c>
      <c r="B125" s="20" t="s">
        <v>392</v>
      </c>
      <c r="C125" s="21">
        <v>26177528</v>
      </c>
      <c r="D125" s="22" t="s">
        <v>452</v>
      </c>
      <c r="E125" s="20" t="s">
        <v>453</v>
      </c>
      <c r="F125" s="20" t="s">
        <v>454</v>
      </c>
      <c r="G125" s="20"/>
      <c r="H125" s="20" t="s">
        <v>84</v>
      </c>
      <c r="I125" s="23" t="s">
        <v>88</v>
      </c>
      <c r="J125" s="13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</row>
    <row r="126" ht="15.75" customHeight="1" spans="1:23">
      <c r="A126" s="14">
        <v>125</v>
      </c>
      <c r="B126" s="15" t="s">
        <v>392</v>
      </c>
      <c r="C126" s="16">
        <v>26186098</v>
      </c>
      <c r="D126" s="17" t="s">
        <v>455</v>
      </c>
      <c r="E126" s="15" t="s">
        <v>456</v>
      </c>
      <c r="F126" s="15" t="s">
        <v>457</v>
      </c>
      <c r="G126" s="15"/>
      <c r="H126" s="15" t="s">
        <v>84</v>
      </c>
      <c r="I126" s="18" t="s">
        <v>88</v>
      </c>
      <c r="J126" s="13"/>
      <c r="K126" s="13"/>
      <c r="L126" s="13"/>
      <c r="M126" s="13"/>
      <c r="N126" s="13"/>
      <c r="O126" s="13"/>
      <c r="P126" s="13"/>
      <c r="Q126" s="13"/>
      <c r="R126" s="13"/>
      <c r="S126" s="13"/>
      <c r="T126" s="13"/>
      <c r="U126" s="13"/>
      <c r="V126" s="13"/>
      <c r="W126" s="13"/>
    </row>
    <row r="127" ht="15.75" customHeight="1" spans="1:23">
      <c r="A127" s="19">
        <v>126</v>
      </c>
      <c r="B127" s="20" t="s">
        <v>392</v>
      </c>
      <c r="C127" s="21">
        <v>26178036</v>
      </c>
      <c r="D127" s="22" t="s">
        <v>458</v>
      </c>
      <c r="E127" s="20" t="s">
        <v>459</v>
      </c>
      <c r="F127" s="20" t="s">
        <v>460</v>
      </c>
      <c r="G127" s="20"/>
      <c r="H127" s="20" t="s">
        <v>84</v>
      </c>
      <c r="I127" s="23" t="s">
        <v>88</v>
      </c>
      <c r="J127" s="13"/>
      <c r="K127" s="13"/>
      <c r="L127" s="13"/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/>
    </row>
    <row r="128" ht="15.75" customHeight="1" spans="1:23">
      <c r="A128" s="14">
        <v>127</v>
      </c>
      <c r="B128" s="15" t="s">
        <v>392</v>
      </c>
      <c r="C128" s="16">
        <v>26111330</v>
      </c>
      <c r="D128" s="17" t="s">
        <v>461</v>
      </c>
      <c r="E128" s="15" t="s">
        <v>462</v>
      </c>
      <c r="F128" s="15" t="s">
        <v>463</v>
      </c>
      <c r="G128" s="15"/>
      <c r="H128" s="15" t="s">
        <v>84</v>
      </c>
      <c r="I128" s="18" t="s">
        <v>88</v>
      </c>
      <c r="J128" s="13"/>
      <c r="K128" s="13"/>
      <c r="L128" s="13"/>
      <c r="M128" s="13"/>
      <c r="N128" s="13"/>
      <c r="O128" s="13"/>
      <c r="P128" s="13"/>
      <c r="Q128" s="13"/>
      <c r="R128" s="13"/>
      <c r="S128" s="13"/>
      <c r="T128" s="13"/>
      <c r="U128" s="13"/>
      <c r="V128" s="13"/>
      <c r="W128" s="13"/>
    </row>
    <row r="129" ht="15.75" customHeight="1" spans="1:23">
      <c r="A129" s="19">
        <v>128</v>
      </c>
      <c r="B129" s="20" t="s">
        <v>392</v>
      </c>
      <c r="C129" s="21">
        <v>26174740</v>
      </c>
      <c r="D129" s="22" t="s">
        <v>464</v>
      </c>
      <c r="E129" s="20" t="s">
        <v>465</v>
      </c>
      <c r="F129" s="20" t="s">
        <v>466</v>
      </c>
      <c r="G129" s="20"/>
      <c r="H129" s="20" t="s">
        <v>84</v>
      </c>
      <c r="I129" s="23" t="s">
        <v>88</v>
      </c>
      <c r="J129" s="13"/>
      <c r="K129" s="13"/>
      <c r="L129" s="13"/>
      <c r="M129" s="13"/>
      <c r="N129" s="13"/>
      <c r="O129" s="13"/>
      <c r="P129" s="13"/>
      <c r="Q129" s="13"/>
      <c r="R129" s="13"/>
      <c r="S129" s="13"/>
      <c r="T129" s="13"/>
      <c r="U129" s="13"/>
      <c r="V129" s="13"/>
      <c r="W129" s="13"/>
    </row>
    <row r="130" ht="15.75" customHeight="1" spans="1:23">
      <c r="A130" s="14">
        <v>129</v>
      </c>
      <c r="B130" s="15" t="s">
        <v>392</v>
      </c>
      <c r="C130" s="16">
        <v>26109905</v>
      </c>
      <c r="D130" s="17" t="s">
        <v>467</v>
      </c>
      <c r="E130" s="15" t="s">
        <v>468</v>
      </c>
      <c r="F130" s="15" t="s">
        <v>469</v>
      </c>
      <c r="G130" s="15"/>
      <c r="H130" s="15" t="s">
        <v>84</v>
      </c>
      <c r="I130" s="18" t="s">
        <v>85</v>
      </c>
      <c r="J130" s="13"/>
      <c r="K130" s="13"/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</row>
    <row r="131" ht="15.75" customHeight="1" spans="1:23">
      <c r="A131" s="19">
        <v>130</v>
      </c>
      <c r="B131" s="20" t="s">
        <v>392</v>
      </c>
      <c r="C131" s="21">
        <v>26171546</v>
      </c>
      <c r="D131" s="22" t="s">
        <v>470</v>
      </c>
      <c r="E131" s="20" t="s">
        <v>471</v>
      </c>
      <c r="F131" s="20" t="s">
        <v>472</v>
      </c>
      <c r="G131" s="20"/>
      <c r="H131" s="20" t="s">
        <v>84</v>
      </c>
      <c r="I131" s="23" t="s">
        <v>88</v>
      </c>
      <c r="J131" s="13"/>
      <c r="K131" s="13"/>
      <c r="L131" s="13"/>
      <c r="M131" s="13"/>
      <c r="N131" s="13"/>
      <c r="O131" s="13"/>
      <c r="P131" s="13"/>
      <c r="Q131" s="13"/>
      <c r="R131" s="13"/>
      <c r="S131" s="13"/>
      <c r="T131" s="13"/>
      <c r="U131" s="13"/>
      <c r="V131" s="13"/>
      <c r="W131" s="13"/>
    </row>
    <row r="132" ht="15.75" customHeight="1" spans="1:23">
      <c r="A132" s="14">
        <v>131</v>
      </c>
      <c r="B132" s="15" t="s">
        <v>473</v>
      </c>
      <c r="C132" s="16">
        <v>26193078</v>
      </c>
      <c r="D132" s="17" t="s">
        <v>474</v>
      </c>
      <c r="E132" s="15" t="s">
        <v>475</v>
      </c>
      <c r="F132" s="15" t="s">
        <v>476</v>
      </c>
      <c r="G132" s="15"/>
      <c r="H132" s="15" t="s">
        <v>84</v>
      </c>
      <c r="I132" s="18" t="s">
        <v>85</v>
      </c>
      <c r="J132" s="13"/>
      <c r="K132" s="13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</row>
    <row r="133" ht="15.75" customHeight="1" spans="1:23">
      <c r="A133" s="19">
        <v>132</v>
      </c>
      <c r="B133" s="20" t="s">
        <v>473</v>
      </c>
      <c r="C133" s="21">
        <v>26194643</v>
      </c>
      <c r="D133" s="22" t="s">
        <v>69</v>
      </c>
      <c r="E133" s="20" t="s">
        <v>477</v>
      </c>
      <c r="F133" s="20" t="s">
        <v>478</v>
      </c>
      <c r="G133" s="20"/>
      <c r="H133" s="20" t="s">
        <v>84</v>
      </c>
      <c r="I133" s="23" t="s">
        <v>85</v>
      </c>
      <c r="J133" s="13"/>
      <c r="K133" s="13"/>
      <c r="L133" s="13"/>
      <c r="M133" s="13"/>
      <c r="N133" s="13"/>
      <c r="O133" s="13"/>
      <c r="P133" s="13"/>
      <c r="Q133" s="13"/>
      <c r="R133" s="13"/>
      <c r="S133" s="13"/>
      <c r="T133" s="13"/>
      <c r="U133" s="13"/>
      <c r="V133" s="13"/>
      <c r="W133" s="13"/>
    </row>
    <row r="134" ht="15.75" customHeight="1" spans="1:23">
      <c r="A134" s="14">
        <v>133</v>
      </c>
      <c r="B134" s="15" t="s">
        <v>473</v>
      </c>
      <c r="C134" s="16">
        <v>26109255</v>
      </c>
      <c r="D134" s="17" t="s">
        <v>70</v>
      </c>
      <c r="E134" s="15" t="s">
        <v>479</v>
      </c>
      <c r="F134" s="15" t="s">
        <v>480</v>
      </c>
      <c r="G134" s="15"/>
      <c r="H134" s="15" t="s">
        <v>84</v>
      </c>
      <c r="I134" s="18" t="s">
        <v>88</v>
      </c>
      <c r="J134" s="13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</row>
    <row r="135" ht="15.75" customHeight="1" spans="1:23">
      <c r="A135" s="19">
        <v>134</v>
      </c>
      <c r="B135" s="20" t="s">
        <v>473</v>
      </c>
      <c r="C135" s="21">
        <v>26109530</v>
      </c>
      <c r="D135" s="22" t="s">
        <v>71</v>
      </c>
      <c r="E135" s="20" t="s">
        <v>481</v>
      </c>
      <c r="F135" s="20" t="s">
        <v>482</v>
      </c>
      <c r="G135" s="20"/>
      <c r="H135" s="20" t="s">
        <v>84</v>
      </c>
      <c r="I135" s="23" t="s">
        <v>88</v>
      </c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</row>
    <row r="136" ht="15.75" customHeight="1" spans="1:23">
      <c r="A136" s="14">
        <v>135</v>
      </c>
      <c r="B136" s="15" t="s">
        <v>473</v>
      </c>
      <c r="C136" s="16">
        <v>26110547</v>
      </c>
      <c r="D136" s="17" t="s">
        <v>483</v>
      </c>
      <c r="E136" s="15" t="s">
        <v>484</v>
      </c>
      <c r="F136" s="15" t="s">
        <v>485</v>
      </c>
      <c r="G136" s="15"/>
      <c r="H136" s="15" t="s">
        <v>84</v>
      </c>
      <c r="I136" s="18" t="s">
        <v>88</v>
      </c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</row>
    <row r="137" ht="15.75" customHeight="1" spans="1:23">
      <c r="A137" s="19">
        <v>136</v>
      </c>
      <c r="B137" s="20" t="s">
        <v>473</v>
      </c>
      <c r="C137" s="21">
        <v>26189070</v>
      </c>
      <c r="D137" s="22" t="s">
        <v>486</v>
      </c>
      <c r="E137" s="20" t="s">
        <v>487</v>
      </c>
      <c r="F137" s="20" t="s">
        <v>488</v>
      </c>
      <c r="G137" s="20"/>
      <c r="H137" s="20" t="s">
        <v>84</v>
      </c>
      <c r="I137" s="23" t="s">
        <v>85</v>
      </c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</row>
    <row r="138" ht="15.75" customHeight="1" spans="1:23">
      <c r="A138" s="14">
        <v>137</v>
      </c>
      <c r="B138" s="15" t="s">
        <v>473</v>
      </c>
      <c r="C138" s="16">
        <v>26133765</v>
      </c>
      <c r="D138" s="17" t="s">
        <v>489</v>
      </c>
      <c r="E138" s="15" t="s">
        <v>490</v>
      </c>
      <c r="F138" s="15" t="s">
        <v>491</v>
      </c>
      <c r="G138" s="15"/>
      <c r="H138" s="15" t="s">
        <v>84</v>
      </c>
      <c r="I138" s="18" t="s">
        <v>85</v>
      </c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</row>
    <row r="139" ht="15.75" customHeight="1" spans="1:23">
      <c r="A139" s="19">
        <v>138</v>
      </c>
      <c r="B139" s="20" t="s">
        <v>473</v>
      </c>
      <c r="C139" s="21">
        <v>26110911</v>
      </c>
      <c r="D139" s="22" t="s">
        <v>492</v>
      </c>
      <c r="E139" s="20" t="s">
        <v>493</v>
      </c>
      <c r="F139" s="20" t="s">
        <v>494</v>
      </c>
      <c r="G139" s="20"/>
      <c r="H139" s="20" t="s">
        <v>84</v>
      </c>
      <c r="I139" s="23" t="s">
        <v>88</v>
      </c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</row>
    <row r="140" ht="15.75" customHeight="1" spans="1:23">
      <c r="A140" s="14">
        <v>139</v>
      </c>
      <c r="B140" s="15" t="s">
        <v>473</v>
      </c>
      <c r="C140" s="16">
        <v>26133783</v>
      </c>
      <c r="D140" s="17" t="s">
        <v>495</v>
      </c>
      <c r="E140" s="15" t="s">
        <v>496</v>
      </c>
      <c r="F140" s="15" t="s">
        <v>497</v>
      </c>
      <c r="G140" s="15"/>
      <c r="H140" s="15" t="s">
        <v>84</v>
      </c>
      <c r="I140" s="18" t="s">
        <v>88</v>
      </c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</row>
    <row r="141" ht="15.75" customHeight="1" spans="1:23">
      <c r="A141" s="19">
        <v>140</v>
      </c>
      <c r="B141" s="20" t="s">
        <v>473</v>
      </c>
      <c r="C141" s="21">
        <v>26108895</v>
      </c>
      <c r="D141" s="22" t="s">
        <v>498</v>
      </c>
      <c r="E141" s="20" t="s">
        <v>499</v>
      </c>
      <c r="F141" s="20" t="s">
        <v>500</v>
      </c>
      <c r="G141" s="20"/>
      <c r="H141" s="20" t="s">
        <v>84</v>
      </c>
      <c r="I141" s="23" t="s">
        <v>88</v>
      </c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</row>
    <row r="142" ht="15.75" customHeight="1" spans="1:23">
      <c r="A142" s="14">
        <v>141</v>
      </c>
      <c r="B142" s="15" t="s">
        <v>473</v>
      </c>
      <c r="C142" s="16">
        <v>26188120</v>
      </c>
      <c r="D142" s="17" t="s">
        <v>501</v>
      </c>
      <c r="E142" s="15" t="s">
        <v>502</v>
      </c>
      <c r="F142" s="15" t="s">
        <v>503</v>
      </c>
      <c r="G142" s="15"/>
      <c r="H142" s="15" t="s">
        <v>84</v>
      </c>
      <c r="I142" s="18" t="s">
        <v>88</v>
      </c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</row>
    <row r="143" ht="15.75" customHeight="1" spans="1:23">
      <c r="A143" s="19">
        <v>142</v>
      </c>
      <c r="B143" s="20" t="s">
        <v>473</v>
      </c>
      <c r="C143" s="21">
        <v>26109956</v>
      </c>
      <c r="D143" s="22" t="s">
        <v>504</v>
      </c>
      <c r="E143" s="20" t="s">
        <v>505</v>
      </c>
      <c r="F143" s="20" t="s">
        <v>506</v>
      </c>
      <c r="G143" s="20"/>
      <c r="H143" s="20" t="s">
        <v>84</v>
      </c>
      <c r="I143" s="23" t="s">
        <v>88</v>
      </c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</row>
    <row r="144" ht="15.75" customHeight="1" spans="1:23">
      <c r="A144" s="14">
        <v>143</v>
      </c>
      <c r="B144" s="15" t="s">
        <v>473</v>
      </c>
      <c r="C144" s="16">
        <v>26109190</v>
      </c>
      <c r="D144" s="17" t="s">
        <v>507</v>
      </c>
      <c r="E144" s="15" t="s">
        <v>508</v>
      </c>
      <c r="F144" s="15" t="s">
        <v>509</v>
      </c>
      <c r="G144" s="15"/>
      <c r="H144" s="15" t="s">
        <v>84</v>
      </c>
      <c r="I144" s="18" t="s">
        <v>88</v>
      </c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</row>
    <row r="145" ht="15.75" customHeight="1" spans="1:23">
      <c r="A145" s="19">
        <v>144</v>
      </c>
      <c r="B145" s="20" t="s">
        <v>473</v>
      </c>
      <c r="C145" s="21">
        <v>26188147</v>
      </c>
      <c r="D145" s="22" t="s">
        <v>510</v>
      </c>
      <c r="E145" s="20" t="s">
        <v>511</v>
      </c>
      <c r="F145" s="20" t="s">
        <v>512</v>
      </c>
      <c r="G145" s="20"/>
      <c r="H145" s="20" t="s">
        <v>84</v>
      </c>
      <c r="I145" s="23" t="s">
        <v>88</v>
      </c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</row>
    <row r="146" ht="15.75" customHeight="1" spans="1:23">
      <c r="A146" s="14">
        <v>145</v>
      </c>
      <c r="B146" s="15" t="s">
        <v>473</v>
      </c>
      <c r="C146" s="16">
        <v>26109417</v>
      </c>
      <c r="D146" s="17" t="s">
        <v>513</v>
      </c>
      <c r="E146" s="15" t="s">
        <v>514</v>
      </c>
      <c r="F146" s="15" t="s">
        <v>515</v>
      </c>
      <c r="G146" s="15"/>
      <c r="H146" s="15" t="s">
        <v>84</v>
      </c>
      <c r="I146" s="18" t="s">
        <v>88</v>
      </c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</row>
    <row r="147" ht="15.75" customHeight="1" spans="1:23">
      <c r="A147" s="19">
        <v>146</v>
      </c>
      <c r="B147" s="20" t="s">
        <v>473</v>
      </c>
      <c r="C147" s="21">
        <v>26109743</v>
      </c>
      <c r="D147" s="22" t="s">
        <v>516</v>
      </c>
      <c r="E147" s="20" t="s">
        <v>517</v>
      </c>
      <c r="F147" s="20" t="s">
        <v>518</v>
      </c>
      <c r="G147" s="20"/>
      <c r="H147" s="20" t="s">
        <v>84</v>
      </c>
      <c r="I147" s="23" t="s">
        <v>88</v>
      </c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</row>
    <row r="148" ht="15.75" customHeight="1" spans="1:23">
      <c r="A148" s="14">
        <v>147</v>
      </c>
      <c r="B148" s="15" t="s">
        <v>473</v>
      </c>
      <c r="C148" s="16">
        <v>26188139</v>
      </c>
      <c r="D148" s="17" t="s">
        <v>519</v>
      </c>
      <c r="E148" s="15" t="s">
        <v>520</v>
      </c>
      <c r="F148" s="15" t="s">
        <v>521</v>
      </c>
      <c r="G148" s="15"/>
      <c r="H148" s="15" t="s">
        <v>84</v>
      </c>
      <c r="I148" s="18" t="s">
        <v>88</v>
      </c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</row>
    <row r="149" ht="15.75" customHeight="1" spans="1:23">
      <c r="A149" s="19">
        <v>148</v>
      </c>
      <c r="B149" s="20" t="s">
        <v>473</v>
      </c>
      <c r="C149" s="21">
        <v>26183137</v>
      </c>
      <c r="D149" s="22" t="s">
        <v>522</v>
      </c>
      <c r="E149" s="20" t="s">
        <v>523</v>
      </c>
      <c r="F149" s="20" t="s">
        <v>524</v>
      </c>
      <c r="G149" s="20"/>
      <c r="H149" s="20" t="s">
        <v>84</v>
      </c>
      <c r="I149" s="23" t="s">
        <v>88</v>
      </c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</row>
    <row r="150" ht="15.75" customHeight="1" spans="1:23">
      <c r="A150" s="14">
        <v>149</v>
      </c>
      <c r="B150" s="15" t="s">
        <v>473</v>
      </c>
      <c r="C150" s="16">
        <v>26137747</v>
      </c>
      <c r="D150" s="17" t="s">
        <v>525</v>
      </c>
      <c r="E150" s="15" t="s">
        <v>526</v>
      </c>
      <c r="F150" s="15" t="s">
        <v>527</v>
      </c>
      <c r="G150" s="15"/>
      <c r="H150" s="15" t="s">
        <v>84</v>
      </c>
      <c r="I150" s="18" t="s">
        <v>88</v>
      </c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</row>
    <row r="151" ht="15.75" customHeight="1" spans="1:23">
      <c r="A151" s="19">
        <v>150</v>
      </c>
      <c r="B151" s="20" t="s">
        <v>473</v>
      </c>
      <c r="C151" s="21">
        <v>26183145</v>
      </c>
      <c r="D151" s="22" t="s">
        <v>528</v>
      </c>
      <c r="E151" s="20" t="s">
        <v>529</v>
      </c>
      <c r="F151" s="20" t="s">
        <v>530</v>
      </c>
      <c r="G151" s="20"/>
      <c r="H151" s="20" t="s">
        <v>84</v>
      </c>
      <c r="I151" s="23" t="s">
        <v>88</v>
      </c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</row>
    <row r="152" ht="15.75" customHeight="1" spans="1:23">
      <c r="A152" s="28">
        <v>151</v>
      </c>
      <c r="B152" s="29" t="s">
        <v>473</v>
      </c>
      <c r="C152" s="30">
        <v>26109166</v>
      </c>
      <c r="D152" s="17" t="s">
        <v>531</v>
      </c>
      <c r="E152" s="29" t="s">
        <v>532</v>
      </c>
      <c r="F152" s="29" t="s">
        <v>533</v>
      </c>
      <c r="G152" s="29"/>
      <c r="H152" s="29" t="s">
        <v>84</v>
      </c>
      <c r="I152" s="31" t="s">
        <v>85</v>
      </c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</row>
    <row r="153" ht="15.75" customHeight="1" spans="1:23">
      <c r="A153" s="32"/>
      <c r="B153" s="13"/>
      <c r="C153" s="13"/>
      <c r="D153" s="13"/>
      <c r="E153" s="13"/>
      <c r="F153" s="13"/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</row>
    <row r="154" ht="15.75" customHeight="1" spans="1:23">
      <c r="A154" s="32"/>
      <c r="B154" s="13"/>
      <c r="C154" s="13"/>
      <c r="D154" s="13"/>
      <c r="E154" s="13"/>
      <c r="F154" s="13"/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</row>
    <row r="155" ht="15.75" customHeight="1" spans="1:23">
      <c r="A155" s="32"/>
      <c r="B155" s="13"/>
      <c r="C155" s="13"/>
      <c r="D155" s="13"/>
      <c r="E155" s="13"/>
      <c r="F155" s="13"/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</row>
    <row r="156" ht="15.75" customHeight="1" spans="1:23">
      <c r="A156" s="32"/>
      <c r="B156" s="13"/>
      <c r="C156" s="13"/>
      <c r="D156" s="13"/>
      <c r="E156" s="13"/>
      <c r="F156" s="13"/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</row>
    <row r="157" ht="15.75" customHeight="1" spans="1:23">
      <c r="A157" s="32"/>
      <c r="B157" s="13"/>
      <c r="C157" s="13"/>
      <c r="D157" s="13"/>
      <c r="E157" s="13"/>
      <c r="F157" s="13"/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</row>
    <row r="158" ht="15.75" customHeight="1" spans="1:23">
      <c r="A158" s="32"/>
      <c r="B158" s="13"/>
      <c r="C158" s="13"/>
      <c r="D158" s="13"/>
      <c r="E158" s="13"/>
      <c r="F158" s="13"/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</row>
    <row r="159" ht="15.75" customHeight="1" spans="1:23">
      <c r="A159" s="32"/>
      <c r="B159" s="13"/>
      <c r="C159" s="13"/>
      <c r="D159" s="13"/>
      <c r="E159" s="13"/>
      <c r="F159" s="13"/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</row>
    <row r="160" ht="15.75" customHeight="1" spans="1:23">
      <c r="A160" s="32"/>
      <c r="B160" s="13"/>
      <c r="C160" s="13"/>
      <c r="D160" s="13"/>
      <c r="E160" s="13"/>
      <c r="F160" s="13"/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</row>
    <row r="161" ht="15.75" customHeight="1" spans="1:23">
      <c r="A161" s="32"/>
      <c r="B161" s="13"/>
      <c r="C161" s="13"/>
      <c r="D161" s="13"/>
      <c r="E161" s="13"/>
      <c r="F161" s="13"/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</row>
    <row r="162" ht="15.75" customHeight="1" spans="1:23">
      <c r="A162" s="32"/>
      <c r="B162" s="13"/>
      <c r="C162" s="13"/>
      <c r="D162" s="13"/>
      <c r="E162" s="13"/>
      <c r="F162" s="13"/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</row>
    <row r="163" ht="15.75" customHeight="1" spans="1:23">
      <c r="A163" s="13"/>
      <c r="B163" s="13"/>
      <c r="C163" s="13"/>
      <c r="D163" s="13"/>
      <c r="E163" s="13"/>
      <c r="F163" s="13"/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</row>
    <row r="164" ht="15.75" customHeight="1" spans="1:23">
      <c r="A164" s="13"/>
      <c r="B164" s="13"/>
      <c r="C164" s="13"/>
      <c r="D164" s="13"/>
      <c r="E164" s="13"/>
      <c r="F164" s="13"/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</row>
    <row r="165" ht="15.75" customHeight="1" spans="1:23">
      <c r="A165" s="13"/>
      <c r="B165" s="13"/>
      <c r="C165" s="13"/>
      <c r="D165" s="13"/>
      <c r="E165" s="13"/>
      <c r="F165" s="13"/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</row>
    <row r="166" ht="15.75" customHeight="1" spans="1:23">
      <c r="A166" s="13"/>
      <c r="B166" s="13"/>
      <c r="C166" s="13"/>
      <c r="D166" s="13"/>
      <c r="E166" s="13"/>
      <c r="F166" s="13"/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</row>
    <row r="167" ht="15.75" customHeight="1" spans="1:23">
      <c r="A167" s="13"/>
      <c r="B167" s="13"/>
      <c r="C167" s="13"/>
      <c r="D167" s="13"/>
      <c r="E167" s="13"/>
      <c r="F167" s="13"/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</row>
    <row r="168" ht="15.75" customHeight="1" spans="1:23">
      <c r="A168" s="13"/>
      <c r="B168" s="13"/>
      <c r="C168" s="13"/>
      <c r="D168" s="13"/>
      <c r="E168" s="13"/>
      <c r="F168" s="13"/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</row>
    <row r="169" ht="15.75" customHeight="1" spans="1:23">
      <c r="A169" s="13"/>
      <c r="B169" s="13"/>
      <c r="C169" s="13"/>
      <c r="D169" s="13"/>
      <c r="E169" s="13"/>
      <c r="F169" s="13"/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</row>
    <row r="170" ht="15.75" customHeight="1" spans="1:23">
      <c r="A170" s="13"/>
      <c r="B170" s="13"/>
      <c r="C170" s="13"/>
      <c r="D170" s="13"/>
      <c r="E170" s="13"/>
      <c r="F170" s="13"/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</row>
    <row r="171" ht="15.75" customHeight="1" spans="1:23">
      <c r="A171" s="13"/>
      <c r="B171" s="13"/>
      <c r="C171" s="13"/>
      <c r="D171" s="13"/>
      <c r="E171" s="13"/>
      <c r="F171" s="13"/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</row>
    <row r="172" ht="15.75" customHeight="1" spans="1:23">
      <c r="A172" s="13"/>
      <c r="B172" s="13"/>
      <c r="C172" s="13"/>
      <c r="D172" s="13"/>
      <c r="E172" s="13"/>
      <c r="F172" s="13"/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</row>
    <row r="173" ht="15.75" customHeight="1" spans="1:23">
      <c r="A173" s="13"/>
      <c r="B173" s="13"/>
      <c r="C173" s="13"/>
      <c r="D173" s="13"/>
      <c r="E173" s="13"/>
      <c r="F173" s="13"/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</row>
    <row r="174" ht="15.75" customHeight="1" spans="1:23">
      <c r="A174" s="13"/>
      <c r="B174" s="13"/>
      <c r="C174" s="13"/>
      <c r="D174" s="13"/>
      <c r="E174" s="13"/>
      <c r="F174" s="13"/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</row>
    <row r="175" ht="15.75" customHeight="1" spans="1:23">
      <c r="A175" s="13"/>
      <c r="B175" s="13"/>
      <c r="C175" s="13"/>
      <c r="D175" s="13"/>
      <c r="E175" s="13"/>
      <c r="F175" s="13"/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</row>
    <row r="176" ht="15.75" customHeight="1" spans="1:23">
      <c r="A176" s="13"/>
      <c r="B176" s="13"/>
      <c r="C176" s="13"/>
      <c r="D176" s="13"/>
      <c r="E176" s="13"/>
      <c r="F176" s="13"/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</row>
    <row r="177" ht="15.75" customHeight="1" spans="1:23">
      <c r="A177" s="13"/>
      <c r="B177" s="13"/>
      <c r="C177" s="13"/>
      <c r="D177" s="13"/>
      <c r="E177" s="13"/>
      <c r="F177" s="13"/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</row>
    <row r="178" ht="15.75" customHeight="1" spans="1:23">
      <c r="A178" s="13"/>
      <c r="B178" s="13"/>
      <c r="C178" s="13"/>
      <c r="D178" s="13"/>
      <c r="E178" s="13"/>
      <c r="F178" s="13"/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</row>
    <row r="179" ht="15.75" customHeight="1" spans="1:23">
      <c r="A179" s="13"/>
      <c r="B179" s="13"/>
      <c r="C179" s="13"/>
      <c r="D179" s="13"/>
      <c r="E179" s="13"/>
      <c r="F179" s="13"/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</row>
    <row r="180" ht="15.75" customHeight="1" spans="1:23">
      <c r="A180" s="13"/>
      <c r="B180" s="13"/>
      <c r="C180" s="13"/>
      <c r="D180" s="13"/>
      <c r="E180" s="13"/>
      <c r="F180" s="13"/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</row>
    <row r="181" ht="15.75" customHeight="1" spans="1:23">
      <c r="A181" s="13"/>
      <c r="B181" s="13"/>
      <c r="C181" s="13"/>
      <c r="D181" s="13"/>
      <c r="E181" s="13"/>
      <c r="F181" s="13"/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</row>
    <row r="182" ht="15.75" customHeight="1" spans="1:23">
      <c r="A182" s="13"/>
      <c r="B182" s="13"/>
      <c r="C182" s="13"/>
      <c r="D182" s="13"/>
      <c r="E182" s="13"/>
      <c r="F182" s="13"/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</row>
    <row r="183" ht="15.75" customHeight="1" spans="1:23">
      <c r="A183" s="13"/>
      <c r="B183" s="13"/>
      <c r="C183" s="13"/>
      <c r="D183" s="13"/>
      <c r="E183" s="13"/>
      <c r="F183" s="13"/>
      <c r="G183" s="13"/>
      <c r="H183" s="13"/>
      <c r="I183" s="13"/>
      <c r="J183" s="13"/>
      <c r="K183" s="13"/>
      <c r="L183" s="13"/>
      <c r="M183" s="13"/>
      <c r="N183" s="13"/>
      <c r="O183" s="13"/>
      <c r="P183" s="13"/>
      <c r="Q183" s="13"/>
      <c r="R183" s="13"/>
      <c r="S183" s="13"/>
      <c r="T183" s="13"/>
      <c r="U183" s="13"/>
      <c r="V183" s="13"/>
      <c r="W183" s="13"/>
    </row>
    <row r="184" ht="15.75" customHeight="1" spans="1:23">
      <c r="A184" s="13"/>
      <c r="B184" s="13"/>
      <c r="C184" s="13"/>
      <c r="D184" s="13"/>
      <c r="E184" s="13"/>
      <c r="F184" s="13"/>
      <c r="G184" s="13"/>
      <c r="H184" s="13"/>
      <c r="I184" s="13"/>
      <c r="J184" s="13"/>
      <c r="K184" s="13"/>
      <c r="L184" s="13"/>
      <c r="M184" s="13"/>
      <c r="N184" s="13"/>
      <c r="O184" s="13"/>
      <c r="P184" s="13"/>
      <c r="Q184" s="13"/>
      <c r="R184" s="13"/>
      <c r="S184" s="13"/>
      <c r="T184" s="13"/>
      <c r="U184" s="13"/>
      <c r="V184" s="13"/>
      <c r="W184" s="13"/>
    </row>
    <row r="185" ht="15.75" customHeight="1" spans="1:23">
      <c r="A185" s="13"/>
      <c r="B185" s="13"/>
      <c r="C185" s="13"/>
      <c r="D185" s="13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</row>
    <row r="186" ht="15.75" customHeight="1" spans="1:23">
      <c r="A186" s="13"/>
      <c r="B186" s="13"/>
      <c r="C186" s="13"/>
      <c r="D186" s="13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</row>
    <row r="187" ht="15.75" customHeight="1" spans="1:23">
      <c r="A187" s="13"/>
      <c r="B187" s="13"/>
      <c r="C187" s="13"/>
      <c r="D187" s="13"/>
      <c r="E187" s="13"/>
      <c r="F187" s="13"/>
      <c r="G187" s="13"/>
      <c r="H187" s="13"/>
      <c r="I187" s="13"/>
      <c r="J187" s="13"/>
      <c r="K187" s="13"/>
      <c r="L187" s="13"/>
      <c r="M187" s="13"/>
      <c r="N187" s="13"/>
      <c r="O187" s="13"/>
      <c r="P187" s="13"/>
      <c r="Q187" s="13"/>
      <c r="R187" s="13"/>
      <c r="S187" s="13"/>
      <c r="T187" s="13"/>
      <c r="U187" s="13"/>
      <c r="V187" s="13"/>
      <c r="W187" s="13"/>
    </row>
    <row r="188" ht="15.75" customHeight="1" spans="1:23">
      <c r="A188" s="13"/>
      <c r="B188" s="13"/>
      <c r="C188" s="13"/>
      <c r="D188" s="13"/>
      <c r="E188" s="13"/>
      <c r="F188" s="13"/>
      <c r="G188" s="13"/>
      <c r="H188" s="13"/>
      <c r="I188" s="13"/>
      <c r="J188" s="13"/>
      <c r="K188" s="13"/>
      <c r="L188" s="13"/>
      <c r="M188" s="13"/>
      <c r="N188" s="13"/>
      <c r="O188" s="13"/>
      <c r="P188" s="13"/>
      <c r="Q188" s="13"/>
      <c r="R188" s="13"/>
      <c r="S188" s="13"/>
      <c r="T188" s="13"/>
      <c r="U188" s="13"/>
      <c r="V188" s="13"/>
      <c r="W188" s="13"/>
    </row>
    <row r="189" ht="15.75" customHeight="1" spans="1:23">
      <c r="A189" s="13"/>
      <c r="B189" s="13"/>
      <c r="C189" s="13"/>
      <c r="D189" s="13"/>
      <c r="E189" s="13"/>
      <c r="F189" s="13"/>
      <c r="G189" s="13"/>
      <c r="H189" s="13"/>
      <c r="I189" s="13"/>
      <c r="J189" s="13"/>
      <c r="K189" s="13"/>
      <c r="L189" s="13"/>
      <c r="M189" s="13"/>
      <c r="N189" s="13"/>
      <c r="O189" s="13"/>
      <c r="P189" s="13"/>
      <c r="Q189" s="13"/>
      <c r="R189" s="13"/>
      <c r="S189" s="13"/>
      <c r="T189" s="13"/>
      <c r="U189" s="13"/>
      <c r="V189" s="13"/>
      <c r="W189" s="13"/>
    </row>
    <row r="190" ht="15.75" customHeight="1" spans="1:23">
      <c r="A190" s="13"/>
      <c r="B190" s="13"/>
      <c r="C190" s="13"/>
      <c r="D190" s="13"/>
      <c r="E190" s="13"/>
      <c r="F190" s="13"/>
      <c r="G190" s="13"/>
      <c r="H190" s="13"/>
      <c r="I190" s="13"/>
      <c r="J190" s="13"/>
      <c r="K190" s="13"/>
      <c r="L190" s="13"/>
      <c r="M190" s="13"/>
      <c r="N190" s="13"/>
      <c r="O190" s="13"/>
      <c r="P190" s="13"/>
      <c r="Q190" s="13"/>
      <c r="R190" s="13"/>
      <c r="S190" s="13"/>
      <c r="T190" s="13"/>
      <c r="U190" s="13"/>
      <c r="V190" s="13"/>
      <c r="W190" s="13"/>
    </row>
    <row r="191" ht="15.75" customHeight="1" spans="1:23">
      <c r="A191" s="13"/>
      <c r="B191" s="13"/>
      <c r="C191" s="13"/>
      <c r="D191" s="13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</row>
    <row r="192" ht="15.75" customHeight="1" spans="1:23">
      <c r="A192" s="13"/>
      <c r="B192" s="13"/>
      <c r="C192" s="13"/>
      <c r="D192" s="13"/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</row>
    <row r="193" ht="15.75" customHeight="1" spans="1:23">
      <c r="A193" s="13"/>
      <c r="B193" s="13"/>
      <c r="C193" s="13"/>
      <c r="D193" s="13"/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</row>
    <row r="194" ht="15.75" customHeight="1" spans="1:23">
      <c r="A194" s="13"/>
      <c r="B194" s="13"/>
      <c r="C194" s="13"/>
      <c r="D194" s="13"/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</row>
    <row r="195" ht="15.75" customHeight="1" spans="1:23">
      <c r="A195" s="13"/>
      <c r="B195" s="13"/>
      <c r="C195" s="13"/>
      <c r="D195" s="13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</row>
    <row r="196" ht="15.75" customHeight="1" spans="1:23">
      <c r="A196" s="13"/>
      <c r="B196" s="13"/>
      <c r="C196" s="13"/>
      <c r="D196" s="13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</row>
    <row r="197" ht="15.75" customHeight="1" spans="1:23">
      <c r="A197" s="13"/>
      <c r="B197" s="13"/>
      <c r="C197" s="13"/>
      <c r="D197" s="13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</row>
    <row r="198" ht="15.75" customHeight="1" spans="1:23">
      <c r="A198" s="13"/>
      <c r="B198" s="13"/>
      <c r="C198" s="13"/>
      <c r="D198" s="13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</row>
    <row r="199" ht="15.75" customHeight="1" spans="1:23">
      <c r="A199" s="13"/>
      <c r="B199" s="13"/>
      <c r="C199" s="13"/>
      <c r="D199" s="13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</row>
    <row r="200" ht="15.75" customHeight="1" spans="1:23">
      <c r="A200" s="13"/>
      <c r="B200" s="13"/>
      <c r="C200" s="13"/>
      <c r="D200" s="13"/>
      <c r="E200" s="13"/>
      <c r="F200" s="13"/>
      <c r="G200" s="13"/>
      <c r="H200" s="13"/>
      <c r="I200" s="13"/>
      <c r="J200" s="13"/>
      <c r="K200" s="13"/>
      <c r="L200" s="13"/>
      <c r="M200" s="13"/>
      <c r="N200" s="13"/>
      <c r="O200" s="13"/>
      <c r="P200" s="13"/>
      <c r="Q200" s="13"/>
      <c r="R200" s="13"/>
      <c r="S200" s="13"/>
      <c r="T200" s="13"/>
      <c r="U200" s="13"/>
      <c r="V200" s="13"/>
      <c r="W200" s="13"/>
    </row>
    <row r="201" ht="15.75" customHeight="1" spans="1:23">
      <c r="A201" s="13"/>
      <c r="B201" s="13"/>
      <c r="C201" s="13"/>
      <c r="D201" s="13"/>
      <c r="E201" s="13"/>
      <c r="F201" s="13"/>
      <c r="G201" s="13"/>
      <c r="H201" s="13"/>
      <c r="I201" s="13"/>
      <c r="J201" s="13"/>
      <c r="K201" s="13"/>
      <c r="L201" s="13"/>
      <c r="M201" s="13"/>
      <c r="N201" s="13"/>
      <c r="O201" s="13"/>
      <c r="P201" s="13"/>
      <c r="Q201" s="13"/>
      <c r="R201" s="13"/>
      <c r="S201" s="13"/>
      <c r="T201" s="13"/>
      <c r="U201" s="13"/>
      <c r="V201" s="13"/>
      <c r="W201" s="13"/>
    </row>
    <row r="202" ht="15.75" customHeight="1" spans="1:23">
      <c r="A202" s="13"/>
      <c r="B202" s="13"/>
      <c r="C202" s="13"/>
      <c r="D202" s="13"/>
      <c r="E202" s="13"/>
      <c r="F202" s="13"/>
      <c r="G202" s="13"/>
      <c r="H202" s="13"/>
      <c r="I202" s="13"/>
      <c r="J202" s="13"/>
      <c r="K202" s="13"/>
      <c r="L202" s="13"/>
      <c r="M202" s="13"/>
      <c r="N202" s="13"/>
      <c r="O202" s="13"/>
      <c r="P202" s="13"/>
      <c r="Q202" s="13"/>
      <c r="R202" s="13"/>
      <c r="S202" s="13"/>
      <c r="T202" s="13"/>
      <c r="U202" s="13"/>
      <c r="V202" s="13"/>
      <c r="W202" s="13"/>
    </row>
    <row r="203" ht="15.75" customHeight="1" spans="1:23">
      <c r="A203" s="13"/>
      <c r="B203" s="13"/>
      <c r="C203" s="13"/>
      <c r="D203" s="13"/>
      <c r="E203" s="13"/>
      <c r="F203" s="13"/>
      <c r="G203" s="13"/>
      <c r="H203" s="13"/>
      <c r="I203" s="13"/>
      <c r="J203" s="13"/>
      <c r="K203" s="13"/>
      <c r="L203" s="13"/>
      <c r="M203" s="13"/>
      <c r="N203" s="13"/>
      <c r="O203" s="13"/>
      <c r="P203" s="13"/>
      <c r="Q203" s="13"/>
      <c r="R203" s="13"/>
      <c r="S203" s="13"/>
      <c r="T203" s="13"/>
      <c r="U203" s="13"/>
      <c r="V203" s="13"/>
      <c r="W203" s="13"/>
    </row>
    <row r="204" ht="15.75" customHeight="1" spans="1:23">
      <c r="A204" s="13"/>
      <c r="B204" s="13"/>
      <c r="C204" s="13"/>
      <c r="D204" s="13"/>
      <c r="E204" s="13"/>
      <c r="F204" s="13"/>
      <c r="G204" s="13"/>
      <c r="H204" s="13"/>
      <c r="I204" s="13"/>
      <c r="J204" s="13"/>
      <c r="K204" s="13"/>
      <c r="L204" s="13"/>
      <c r="M204" s="13"/>
      <c r="N204" s="13"/>
      <c r="O204" s="13"/>
      <c r="P204" s="13"/>
      <c r="Q204" s="13"/>
      <c r="R204" s="13"/>
      <c r="S204" s="13"/>
      <c r="T204" s="13"/>
      <c r="U204" s="13"/>
      <c r="V204" s="13"/>
      <c r="W204" s="13"/>
    </row>
    <row r="205" ht="15.75" customHeight="1" spans="1:23">
      <c r="A205" s="13"/>
      <c r="B205" s="13"/>
      <c r="C205" s="13"/>
      <c r="D205" s="13"/>
      <c r="E205" s="13"/>
      <c r="F205" s="13"/>
      <c r="G205" s="13"/>
      <c r="H205" s="13"/>
      <c r="I205" s="13"/>
      <c r="J205" s="13"/>
      <c r="K205" s="13"/>
      <c r="L205" s="13"/>
      <c r="M205" s="13"/>
      <c r="N205" s="13"/>
      <c r="O205" s="13"/>
      <c r="P205" s="13"/>
      <c r="Q205" s="13"/>
      <c r="R205" s="13"/>
      <c r="S205" s="13"/>
      <c r="T205" s="13"/>
      <c r="U205" s="13"/>
      <c r="V205" s="13"/>
      <c r="W205" s="13"/>
    </row>
    <row r="206" ht="15.75" customHeight="1" spans="1:23">
      <c r="A206" s="13"/>
      <c r="B206" s="13"/>
      <c r="C206" s="13"/>
      <c r="D206" s="13"/>
      <c r="E206" s="13"/>
      <c r="F206" s="13"/>
      <c r="G206" s="13"/>
      <c r="H206" s="13"/>
      <c r="I206" s="13"/>
      <c r="J206" s="13"/>
      <c r="K206" s="13"/>
      <c r="L206" s="13"/>
      <c r="M206" s="13"/>
      <c r="N206" s="13"/>
      <c r="O206" s="13"/>
      <c r="P206" s="13"/>
      <c r="Q206" s="13"/>
      <c r="R206" s="13"/>
      <c r="S206" s="13"/>
      <c r="T206" s="13"/>
      <c r="U206" s="13"/>
      <c r="V206" s="13"/>
      <c r="W206" s="13"/>
    </row>
    <row r="207" ht="15.75" customHeight="1" spans="1:23">
      <c r="A207" s="13"/>
      <c r="B207" s="13"/>
      <c r="C207" s="13"/>
      <c r="D207" s="13"/>
      <c r="E207" s="13"/>
      <c r="F207" s="13"/>
      <c r="G207" s="13"/>
      <c r="H207" s="13"/>
      <c r="I207" s="13"/>
      <c r="J207" s="13"/>
      <c r="K207" s="13"/>
      <c r="L207" s="13"/>
      <c r="M207" s="13"/>
      <c r="N207" s="13"/>
      <c r="O207" s="13"/>
      <c r="P207" s="13"/>
      <c r="Q207" s="13"/>
      <c r="R207" s="13"/>
      <c r="S207" s="13"/>
      <c r="T207" s="13"/>
      <c r="U207" s="13"/>
      <c r="V207" s="13"/>
      <c r="W207" s="13"/>
    </row>
    <row r="208" ht="15.75" customHeight="1" spans="1:23">
      <c r="A208" s="13"/>
      <c r="B208" s="13"/>
      <c r="C208" s="13"/>
      <c r="D208" s="13"/>
      <c r="E208" s="13"/>
      <c r="F208" s="13"/>
      <c r="G208" s="13"/>
      <c r="H208" s="13"/>
      <c r="I208" s="13"/>
      <c r="J208" s="13"/>
      <c r="K208" s="13"/>
      <c r="L208" s="13"/>
      <c r="M208" s="13"/>
      <c r="N208" s="13"/>
      <c r="O208" s="13"/>
      <c r="P208" s="13"/>
      <c r="Q208" s="13"/>
      <c r="R208" s="13"/>
      <c r="S208" s="13"/>
      <c r="T208" s="13"/>
      <c r="U208" s="13"/>
      <c r="V208" s="13"/>
      <c r="W208" s="13"/>
    </row>
    <row r="209" ht="15.75" customHeight="1" spans="1:23">
      <c r="A209" s="13"/>
      <c r="B209" s="13"/>
      <c r="C209" s="13"/>
      <c r="D209" s="13"/>
      <c r="E209" s="13"/>
      <c r="F209" s="13"/>
      <c r="G209" s="13"/>
      <c r="H209" s="13"/>
      <c r="I209" s="13"/>
      <c r="J209" s="13"/>
      <c r="K209" s="13"/>
      <c r="L209" s="13"/>
      <c r="M209" s="13"/>
      <c r="N209" s="13"/>
      <c r="O209" s="13"/>
      <c r="P209" s="13"/>
      <c r="Q209" s="13"/>
      <c r="R209" s="13"/>
      <c r="S209" s="13"/>
      <c r="T209" s="13"/>
      <c r="U209" s="13"/>
      <c r="V209" s="13"/>
      <c r="W209" s="13"/>
    </row>
    <row r="210" ht="15.75" customHeight="1" spans="1:23">
      <c r="A210" s="13"/>
      <c r="B210" s="13"/>
      <c r="C210" s="13"/>
      <c r="D210" s="13"/>
      <c r="E210" s="13"/>
      <c r="F210" s="13"/>
      <c r="G210" s="13"/>
      <c r="H210" s="13"/>
      <c r="I210" s="13"/>
      <c r="J210" s="13"/>
      <c r="K210" s="13"/>
      <c r="L210" s="13"/>
      <c r="M210" s="13"/>
      <c r="N210" s="13"/>
      <c r="O210" s="13"/>
      <c r="P210" s="13"/>
      <c r="Q210" s="13"/>
      <c r="R210" s="13"/>
      <c r="S210" s="13"/>
      <c r="T210" s="13"/>
      <c r="U210" s="13"/>
      <c r="V210" s="13"/>
      <c r="W210" s="13"/>
    </row>
    <row r="211" ht="15.75" customHeight="1" spans="1:23">
      <c r="A211" s="13"/>
      <c r="B211" s="13"/>
      <c r="C211" s="13"/>
      <c r="D211" s="13"/>
      <c r="E211" s="13"/>
      <c r="F211" s="13"/>
      <c r="G211" s="13"/>
      <c r="H211" s="13"/>
      <c r="I211" s="13"/>
      <c r="J211" s="13"/>
      <c r="K211" s="13"/>
      <c r="L211" s="13"/>
      <c r="M211" s="13"/>
      <c r="N211" s="13"/>
      <c r="O211" s="13"/>
      <c r="P211" s="13"/>
      <c r="Q211" s="13"/>
      <c r="R211" s="13"/>
      <c r="S211" s="13"/>
      <c r="T211" s="13"/>
      <c r="U211" s="13"/>
      <c r="V211" s="13"/>
      <c r="W211" s="13"/>
    </row>
    <row r="212" ht="15.75" customHeight="1" spans="1:23">
      <c r="A212" s="13"/>
      <c r="B212" s="13"/>
      <c r="C212" s="13"/>
      <c r="D212" s="13"/>
      <c r="E212" s="13"/>
      <c r="F212" s="13"/>
      <c r="G212" s="13"/>
      <c r="H212" s="13"/>
      <c r="I212" s="13"/>
      <c r="J212" s="13"/>
      <c r="K212" s="13"/>
      <c r="L212" s="13"/>
      <c r="M212" s="13"/>
      <c r="N212" s="13"/>
      <c r="O212" s="13"/>
      <c r="P212" s="13"/>
      <c r="Q212" s="13"/>
      <c r="R212" s="13"/>
      <c r="S212" s="13"/>
      <c r="T212" s="13"/>
      <c r="U212" s="13"/>
      <c r="V212" s="13"/>
      <c r="W212" s="13"/>
    </row>
    <row r="213" ht="15.75" customHeight="1" spans="1:23">
      <c r="A213" s="13"/>
      <c r="B213" s="13"/>
      <c r="C213" s="13"/>
      <c r="D213" s="13"/>
      <c r="E213" s="13"/>
      <c r="F213" s="13"/>
      <c r="G213" s="13"/>
      <c r="H213" s="13"/>
      <c r="I213" s="13"/>
      <c r="J213" s="13"/>
      <c r="K213" s="13"/>
      <c r="L213" s="13"/>
      <c r="M213" s="13"/>
      <c r="N213" s="13"/>
      <c r="O213" s="13"/>
      <c r="P213" s="13"/>
      <c r="Q213" s="13"/>
      <c r="R213" s="13"/>
      <c r="S213" s="13"/>
      <c r="T213" s="13"/>
      <c r="U213" s="13"/>
      <c r="V213" s="13"/>
      <c r="W213" s="13"/>
    </row>
    <row r="214" ht="15.75" customHeight="1" spans="1:23">
      <c r="A214" s="13"/>
      <c r="B214" s="13"/>
      <c r="C214" s="13"/>
      <c r="D214" s="13"/>
      <c r="E214" s="13"/>
      <c r="F214" s="13"/>
      <c r="G214" s="13"/>
      <c r="H214" s="13"/>
      <c r="I214" s="13"/>
      <c r="J214" s="13"/>
      <c r="K214" s="13"/>
      <c r="L214" s="13"/>
      <c r="M214" s="13"/>
      <c r="N214" s="13"/>
      <c r="O214" s="13"/>
      <c r="P214" s="13"/>
      <c r="Q214" s="13"/>
      <c r="R214" s="13"/>
      <c r="S214" s="13"/>
      <c r="T214" s="13"/>
      <c r="U214" s="13"/>
      <c r="V214" s="13"/>
      <c r="W214" s="13"/>
    </row>
    <row r="215" ht="15.75" customHeight="1" spans="1:23">
      <c r="A215" s="13"/>
      <c r="B215" s="13"/>
      <c r="C215" s="13"/>
      <c r="D215" s="13"/>
      <c r="E215" s="13"/>
      <c r="F215" s="13"/>
      <c r="G215" s="13"/>
      <c r="H215" s="13"/>
      <c r="I215" s="13"/>
      <c r="J215" s="13"/>
      <c r="K215" s="13"/>
      <c r="L215" s="13"/>
      <c r="M215" s="13"/>
      <c r="N215" s="13"/>
      <c r="O215" s="13"/>
      <c r="P215" s="13"/>
      <c r="Q215" s="13"/>
      <c r="R215" s="13"/>
      <c r="S215" s="13"/>
      <c r="T215" s="13"/>
      <c r="U215" s="13"/>
      <c r="V215" s="13"/>
      <c r="W215" s="13"/>
    </row>
    <row r="216" ht="15.75" customHeight="1" spans="1:23">
      <c r="A216" s="13"/>
      <c r="B216" s="13"/>
      <c r="C216" s="13"/>
      <c r="D216" s="13"/>
      <c r="E216" s="13"/>
      <c r="F216" s="13"/>
      <c r="G216" s="13"/>
      <c r="H216" s="13"/>
      <c r="I216" s="13"/>
      <c r="J216" s="13"/>
      <c r="K216" s="13"/>
      <c r="L216" s="13"/>
      <c r="M216" s="13"/>
      <c r="N216" s="13"/>
      <c r="O216" s="13"/>
      <c r="P216" s="13"/>
      <c r="Q216" s="13"/>
      <c r="R216" s="13"/>
      <c r="S216" s="13"/>
      <c r="T216" s="13"/>
      <c r="U216" s="13"/>
      <c r="V216" s="13"/>
      <c r="W216" s="13"/>
    </row>
    <row r="217" ht="15.75" customHeight="1" spans="1:23">
      <c r="A217" s="13"/>
      <c r="B217" s="13"/>
      <c r="C217" s="13"/>
      <c r="D217" s="13"/>
      <c r="E217" s="13"/>
      <c r="F217" s="13"/>
      <c r="G217" s="13"/>
      <c r="H217" s="13"/>
      <c r="I217" s="13"/>
      <c r="J217" s="13"/>
      <c r="K217" s="13"/>
      <c r="L217" s="13"/>
      <c r="M217" s="13"/>
      <c r="N217" s="13"/>
      <c r="O217" s="13"/>
      <c r="P217" s="13"/>
      <c r="Q217" s="13"/>
      <c r="R217" s="13"/>
      <c r="S217" s="13"/>
      <c r="T217" s="13"/>
      <c r="U217" s="13"/>
      <c r="V217" s="13"/>
      <c r="W217" s="13"/>
    </row>
    <row r="218" ht="15.75" customHeight="1" spans="1:23">
      <c r="A218" s="13"/>
      <c r="B218" s="13"/>
      <c r="C218" s="13"/>
      <c r="D218" s="13"/>
      <c r="E218" s="13"/>
      <c r="F218" s="13"/>
      <c r="G218" s="13"/>
      <c r="H218" s="13"/>
      <c r="I218" s="13"/>
      <c r="J218" s="13"/>
      <c r="K218" s="13"/>
      <c r="L218" s="13"/>
      <c r="M218" s="13"/>
      <c r="N218" s="13"/>
      <c r="O218" s="13"/>
      <c r="P218" s="13"/>
      <c r="Q218" s="13"/>
      <c r="R218" s="13"/>
      <c r="S218" s="13"/>
      <c r="T218" s="13"/>
      <c r="U218" s="13"/>
      <c r="V218" s="13"/>
      <c r="W218" s="13"/>
    </row>
    <row r="219" ht="15.75" customHeight="1" spans="1:23">
      <c r="A219" s="13"/>
      <c r="B219" s="13"/>
      <c r="C219" s="13"/>
      <c r="D219" s="13"/>
      <c r="E219" s="13"/>
      <c r="F219" s="13"/>
      <c r="G219" s="13"/>
      <c r="H219" s="13"/>
      <c r="I219" s="13"/>
      <c r="J219" s="13"/>
      <c r="K219" s="13"/>
      <c r="L219" s="13"/>
      <c r="M219" s="13"/>
      <c r="N219" s="13"/>
      <c r="O219" s="13"/>
      <c r="P219" s="13"/>
      <c r="Q219" s="13"/>
      <c r="R219" s="13"/>
      <c r="S219" s="13"/>
      <c r="T219" s="13"/>
      <c r="U219" s="13"/>
      <c r="V219" s="13"/>
      <c r="W219" s="13"/>
    </row>
    <row r="220" ht="15.75" customHeight="1" spans="1:23">
      <c r="A220" s="13"/>
      <c r="B220" s="13"/>
      <c r="C220" s="13"/>
      <c r="D220" s="13"/>
      <c r="E220" s="13"/>
      <c r="F220" s="13"/>
      <c r="G220" s="13"/>
      <c r="H220" s="13"/>
      <c r="I220" s="13"/>
      <c r="J220" s="13"/>
      <c r="K220" s="13"/>
      <c r="L220" s="13"/>
      <c r="M220" s="13"/>
      <c r="N220" s="13"/>
      <c r="O220" s="13"/>
      <c r="P220" s="13"/>
      <c r="Q220" s="13"/>
      <c r="R220" s="13"/>
      <c r="S220" s="13"/>
      <c r="T220" s="13"/>
      <c r="U220" s="13"/>
      <c r="V220" s="13"/>
      <c r="W220" s="13"/>
    </row>
    <row r="221" ht="15.75" customHeight="1" spans="1:23">
      <c r="A221" s="13"/>
      <c r="B221" s="13"/>
      <c r="C221" s="13"/>
      <c r="D221" s="13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</row>
    <row r="222" ht="15.75" customHeight="1" spans="1:23">
      <c r="A222" s="13"/>
      <c r="B222" s="13"/>
      <c r="C222" s="13"/>
      <c r="D222" s="13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</row>
    <row r="223" ht="15.75" customHeight="1" spans="1:23">
      <c r="A223" s="13"/>
      <c r="B223" s="13"/>
      <c r="C223" s="13"/>
      <c r="D223" s="13"/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</row>
    <row r="224" ht="15.75" customHeight="1" spans="1:23">
      <c r="A224" s="13"/>
      <c r="B224" s="13"/>
      <c r="C224" s="13"/>
      <c r="D224" s="13"/>
      <c r="E224" s="13"/>
      <c r="F224" s="13"/>
      <c r="G224" s="13"/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</row>
    <row r="225" ht="15.75" customHeight="1" spans="1:23">
      <c r="A225" s="13"/>
      <c r="B225" s="13"/>
      <c r="C225" s="13"/>
      <c r="D225" s="13"/>
      <c r="E225" s="13"/>
      <c r="F225" s="13"/>
      <c r="G225" s="13"/>
      <c r="H225" s="13"/>
      <c r="I225" s="13"/>
      <c r="J225" s="13"/>
      <c r="K225" s="13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</row>
    <row r="226" ht="15.75" customHeight="1" spans="1:23">
      <c r="A226" s="13"/>
      <c r="B226" s="13"/>
      <c r="C226" s="13"/>
      <c r="D226" s="13"/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</row>
    <row r="227" ht="15.75" customHeight="1" spans="1:23">
      <c r="A227" s="13"/>
      <c r="B227" s="13"/>
      <c r="C227" s="13"/>
      <c r="D227" s="13"/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</row>
    <row r="228" ht="15.75" customHeight="1" spans="1:23">
      <c r="A228" s="13"/>
      <c r="B228" s="13"/>
      <c r="C228" s="13"/>
      <c r="D228" s="13"/>
      <c r="E228" s="13"/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</row>
    <row r="229" ht="15.75" customHeight="1" spans="1:23">
      <c r="A229" s="13"/>
      <c r="B229" s="13"/>
      <c r="C229" s="13"/>
      <c r="D229" s="13"/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</row>
    <row r="230" ht="15.75" customHeight="1" spans="1:23">
      <c r="A230" s="13"/>
      <c r="B230" s="13"/>
      <c r="C230" s="13"/>
      <c r="D230" s="13"/>
      <c r="E230" s="13"/>
      <c r="F230" s="13"/>
      <c r="G230" s="13"/>
      <c r="H230" s="13"/>
      <c r="I230" s="13"/>
      <c r="J230" s="13"/>
      <c r="K230" s="13"/>
      <c r="L230" s="13"/>
      <c r="M230" s="13"/>
      <c r="N230" s="13"/>
      <c r="O230" s="13"/>
      <c r="P230" s="13"/>
      <c r="Q230" s="13"/>
      <c r="R230" s="13"/>
      <c r="S230" s="13"/>
      <c r="T230" s="13"/>
      <c r="U230" s="13"/>
      <c r="V230" s="13"/>
      <c r="W230" s="13"/>
    </row>
    <row r="231" ht="15.75" customHeight="1" spans="1:23">
      <c r="A231" s="13"/>
      <c r="B231" s="13"/>
      <c r="C231" s="13"/>
      <c r="D231" s="13"/>
      <c r="E231" s="13"/>
      <c r="F231" s="13"/>
      <c r="G231" s="13"/>
      <c r="H231" s="13"/>
      <c r="I231" s="13"/>
      <c r="J231" s="13"/>
      <c r="K231" s="13"/>
      <c r="L231" s="13"/>
      <c r="M231" s="13"/>
      <c r="N231" s="13"/>
      <c r="O231" s="13"/>
      <c r="P231" s="13"/>
      <c r="Q231" s="13"/>
      <c r="R231" s="13"/>
      <c r="S231" s="13"/>
      <c r="T231" s="13"/>
      <c r="U231" s="13"/>
      <c r="V231" s="13"/>
      <c r="W231" s="13"/>
    </row>
    <row r="232" ht="15.75" customHeight="1" spans="1:23">
      <c r="A232" s="13"/>
      <c r="B232" s="13"/>
      <c r="C232" s="13"/>
      <c r="D232" s="13"/>
      <c r="E232" s="13"/>
      <c r="F232" s="13"/>
      <c r="G232" s="13"/>
      <c r="H232" s="13"/>
      <c r="I232" s="13"/>
      <c r="J232" s="13"/>
      <c r="K232" s="13"/>
      <c r="L232" s="13"/>
      <c r="M232" s="13"/>
      <c r="N232" s="13"/>
      <c r="O232" s="13"/>
      <c r="P232" s="13"/>
      <c r="Q232" s="13"/>
      <c r="R232" s="13"/>
      <c r="S232" s="13"/>
      <c r="T232" s="13"/>
      <c r="U232" s="13"/>
      <c r="V232" s="13"/>
      <c r="W232" s="13"/>
    </row>
    <row r="233" ht="15.75" customHeight="1" spans="1:23">
      <c r="A233" s="13"/>
      <c r="B233" s="13"/>
      <c r="C233" s="13"/>
      <c r="D233" s="13"/>
      <c r="E233" s="13"/>
      <c r="F233" s="13"/>
      <c r="G233" s="13"/>
      <c r="H233" s="13"/>
      <c r="I233" s="13"/>
      <c r="J233" s="13"/>
      <c r="K233" s="13"/>
      <c r="L233" s="13"/>
      <c r="M233" s="13"/>
      <c r="N233" s="13"/>
      <c r="O233" s="13"/>
      <c r="P233" s="13"/>
      <c r="Q233" s="13"/>
      <c r="R233" s="13"/>
      <c r="S233" s="13"/>
      <c r="T233" s="13"/>
      <c r="U233" s="13"/>
      <c r="V233" s="13"/>
      <c r="W233" s="13"/>
    </row>
    <row r="234" ht="15.75" customHeight="1" spans="1:23">
      <c r="A234" s="13"/>
      <c r="B234" s="13"/>
      <c r="C234" s="13"/>
      <c r="D234" s="13"/>
      <c r="E234" s="13"/>
      <c r="F234" s="13"/>
      <c r="G234" s="13"/>
      <c r="H234" s="13"/>
      <c r="I234" s="13"/>
      <c r="J234" s="13"/>
      <c r="K234" s="13"/>
      <c r="L234" s="13"/>
      <c r="M234" s="13"/>
      <c r="N234" s="13"/>
      <c r="O234" s="13"/>
      <c r="P234" s="13"/>
      <c r="Q234" s="13"/>
      <c r="R234" s="13"/>
      <c r="S234" s="13"/>
      <c r="T234" s="13"/>
      <c r="U234" s="13"/>
      <c r="V234" s="13"/>
      <c r="W234" s="13"/>
    </row>
    <row r="235" ht="15.75" customHeight="1" spans="1:23">
      <c r="A235" s="13"/>
      <c r="B235" s="13"/>
      <c r="C235" s="13"/>
      <c r="D235" s="13"/>
      <c r="E235" s="13"/>
      <c r="F235" s="13"/>
      <c r="G235" s="13"/>
      <c r="H235" s="13"/>
      <c r="I235" s="13"/>
      <c r="J235" s="13"/>
      <c r="K235" s="13"/>
      <c r="L235" s="13"/>
      <c r="M235" s="13"/>
      <c r="N235" s="13"/>
      <c r="O235" s="13"/>
      <c r="P235" s="13"/>
      <c r="Q235" s="13"/>
      <c r="R235" s="13"/>
      <c r="S235" s="13"/>
      <c r="T235" s="13"/>
      <c r="U235" s="13"/>
      <c r="V235" s="13"/>
      <c r="W235" s="13"/>
    </row>
    <row r="236" ht="15.75" customHeight="1" spans="1:23">
      <c r="A236" s="13"/>
      <c r="B236" s="13"/>
      <c r="C236" s="13"/>
      <c r="D236" s="13"/>
      <c r="E236" s="13"/>
      <c r="F236" s="13"/>
      <c r="G236" s="13"/>
      <c r="H236" s="13"/>
      <c r="I236" s="13"/>
      <c r="J236" s="13"/>
      <c r="K236" s="13"/>
      <c r="L236" s="13"/>
      <c r="M236" s="13"/>
      <c r="N236" s="13"/>
      <c r="O236" s="13"/>
      <c r="P236" s="13"/>
      <c r="Q236" s="13"/>
      <c r="R236" s="13"/>
      <c r="S236" s="13"/>
      <c r="T236" s="13"/>
      <c r="U236" s="13"/>
      <c r="V236" s="13"/>
      <c r="W236" s="13"/>
    </row>
    <row r="237" ht="15.75" customHeight="1" spans="1:23">
      <c r="A237" s="13"/>
      <c r="B237" s="13"/>
      <c r="C237" s="13"/>
      <c r="D237" s="13"/>
      <c r="E237" s="13"/>
      <c r="F237" s="13"/>
      <c r="G237" s="13"/>
      <c r="H237" s="13"/>
      <c r="I237" s="13"/>
      <c r="J237" s="13"/>
      <c r="K237" s="13"/>
      <c r="L237" s="13"/>
      <c r="M237" s="13"/>
      <c r="N237" s="13"/>
      <c r="O237" s="13"/>
      <c r="P237" s="13"/>
      <c r="Q237" s="13"/>
      <c r="R237" s="13"/>
      <c r="S237" s="13"/>
      <c r="T237" s="13"/>
      <c r="U237" s="13"/>
      <c r="V237" s="13"/>
      <c r="W237" s="13"/>
    </row>
    <row r="238" ht="15.75" customHeight="1" spans="1:23">
      <c r="A238" s="13"/>
      <c r="B238" s="13"/>
      <c r="C238" s="13"/>
      <c r="D238" s="13"/>
      <c r="E238" s="13"/>
      <c r="F238" s="13"/>
      <c r="G238" s="13"/>
      <c r="H238" s="13"/>
      <c r="I238" s="13"/>
      <c r="J238" s="13"/>
      <c r="K238" s="13"/>
      <c r="L238" s="13"/>
      <c r="M238" s="13"/>
      <c r="N238" s="13"/>
      <c r="O238" s="13"/>
      <c r="P238" s="13"/>
      <c r="Q238" s="13"/>
      <c r="R238" s="13"/>
      <c r="S238" s="13"/>
      <c r="T238" s="13"/>
      <c r="U238" s="13"/>
      <c r="V238" s="13"/>
      <c r="W238" s="13"/>
    </row>
    <row r="239" ht="15.75" customHeight="1" spans="1:23">
      <c r="A239" s="13"/>
      <c r="B239" s="13"/>
      <c r="C239" s="13"/>
      <c r="D239" s="13"/>
      <c r="E239" s="13"/>
      <c r="F239" s="13"/>
      <c r="G239" s="13"/>
      <c r="H239" s="13"/>
      <c r="I239" s="13"/>
      <c r="J239" s="13"/>
      <c r="K239" s="13"/>
      <c r="L239" s="13"/>
      <c r="M239" s="13"/>
      <c r="N239" s="13"/>
      <c r="O239" s="13"/>
      <c r="P239" s="13"/>
      <c r="Q239" s="13"/>
      <c r="R239" s="13"/>
      <c r="S239" s="13"/>
      <c r="T239" s="13"/>
      <c r="U239" s="13"/>
      <c r="V239" s="13"/>
      <c r="W239" s="13"/>
    </row>
    <row r="240" ht="15.75" customHeight="1" spans="1:23">
      <c r="A240" s="13"/>
      <c r="B240" s="13"/>
      <c r="C240" s="13"/>
      <c r="D240" s="13"/>
      <c r="E240" s="13"/>
      <c r="F240" s="13"/>
      <c r="G240" s="13"/>
      <c r="H240" s="13"/>
      <c r="I240" s="13"/>
      <c r="J240" s="13"/>
      <c r="K240" s="13"/>
      <c r="L240" s="13"/>
      <c r="M240" s="13"/>
      <c r="N240" s="13"/>
      <c r="O240" s="13"/>
      <c r="P240" s="13"/>
      <c r="Q240" s="13"/>
      <c r="R240" s="13"/>
      <c r="S240" s="13"/>
      <c r="T240" s="13"/>
      <c r="U240" s="13"/>
      <c r="V240" s="13"/>
      <c r="W240" s="13"/>
    </row>
    <row r="241" ht="15.75" customHeight="1" spans="1:23">
      <c r="A241" s="13"/>
      <c r="B241" s="13"/>
      <c r="C241" s="13"/>
      <c r="D241" s="13"/>
      <c r="E241" s="13"/>
      <c r="F241" s="13"/>
      <c r="G241" s="13"/>
      <c r="H241" s="13"/>
      <c r="I241" s="13"/>
      <c r="J241" s="13"/>
      <c r="K241" s="13"/>
      <c r="L241" s="13"/>
      <c r="M241" s="13"/>
      <c r="N241" s="13"/>
      <c r="O241" s="13"/>
      <c r="P241" s="13"/>
      <c r="Q241" s="13"/>
      <c r="R241" s="13"/>
      <c r="S241" s="13"/>
      <c r="T241" s="13"/>
      <c r="U241" s="13"/>
      <c r="V241" s="13"/>
      <c r="W241" s="13"/>
    </row>
    <row r="242" ht="15.75" customHeight="1" spans="1:23">
      <c r="A242" s="13"/>
      <c r="B242" s="13"/>
      <c r="C242" s="13"/>
      <c r="D242" s="13"/>
      <c r="E242" s="13"/>
      <c r="F242" s="13"/>
      <c r="G242" s="13"/>
      <c r="H242" s="13"/>
      <c r="I242" s="13"/>
      <c r="J242" s="13"/>
      <c r="K242" s="13"/>
      <c r="L242" s="13"/>
      <c r="M242" s="13"/>
      <c r="N242" s="13"/>
      <c r="O242" s="13"/>
      <c r="P242" s="13"/>
      <c r="Q242" s="13"/>
      <c r="R242" s="13"/>
      <c r="S242" s="13"/>
      <c r="T242" s="13"/>
      <c r="U242" s="13"/>
      <c r="V242" s="13"/>
      <c r="W242" s="13"/>
    </row>
    <row r="243" ht="15.75" customHeight="1" spans="1:23">
      <c r="A243" s="13"/>
      <c r="B243" s="13"/>
      <c r="C243" s="13"/>
      <c r="D243" s="13"/>
      <c r="E243" s="13"/>
      <c r="F243" s="13"/>
      <c r="G243" s="13"/>
      <c r="H243" s="13"/>
      <c r="I243" s="13"/>
      <c r="J243" s="13"/>
      <c r="K243" s="13"/>
      <c r="L243" s="13"/>
      <c r="M243" s="13"/>
      <c r="N243" s="13"/>
      <c r="O243" s="13"/>
      <c r="P243" s="13"/>
      <c r="Q243" s="13"/>
      <c r="R243" s="13"/>
      <c r="S243" s="13"/>
      <c r="T243" s="13"/>
      <c r="U243" s="13"/>
      <c r="V243" s="13"/>
      <c r="W243" s="13"/>
    </row>
    <row r="244" ht="15.75" customHeight="1" spans="1:23">
      <c r="A244" s="13"/>
      <c r="B244" s="13"/>
      <c r="C244" s="13"/>
      <c r="D244" s="13"/>
      <c r="E244" s="13"/>
      <c r="F244" s="13"/>
      <c r="G244" s="13"/>
      <c r="H244" s="13"/>
      <c r="I244" s="13"/>
      <c r="J244" s="13"/>
      <c r="K244" s="13"/>
      <c r="L244" s="13"/>
      <c r="M244" s="13"/>
      <c r="N244" s="13"/>
      <c r="O244" s="13"/>
      <c r="P244" s="13"/>
      <c r="Q244" s="13"/>
      <c r="R244" s="13"/>
      <c r="S244" s="13"/>
      <c r="T244" s="13"/>
      <c r="U244" s="13"/>
      <c r="V244" s="13"/>
      <c r="W244" s="13"/>
    </row>
    <row r="245" ht="15.75" customHeight="1" spans="1:23">
      <c r="A245" s="13"/>
      <c r="B245" s="13"/>
      <c r="C245" s="13"/>
      <c r="D245" s="13"/>
      <c r="E245" s="13"/>
      <c r="F245" s="13"/>
      <c r="G245" s="13"/>
      <c r="H245" s="13"/>
      <c r="I245" s="13"/>
      <c r="J245" s="13"/>
      <c r="K245" s="13"/>
      <c r="L245" s="13"/>
      <c r="M245" s="13"/>
      <c r="N245" s="13"/>
      <c r="O245" s="13"/>
      <c r="P245" s="13"/>
      <c r="Q245" s="13"/>
      <c r="R245" s="13"/>
      <c r="S245" s="13"/>
      <c r="T245" s="13"/>
      <c r="U245" s="13"/>
      <c r="V245" s="13"/>
      <c r="W245" s="13"/>
    </row>
    <row r="246" ht="15.75" customHeight="1" spans="1:23">
      <c r="A246" s="13"/>
      <c r="B246" s="13"/>
      <c r="C246" s="13"/>
      <c r="D246" s="13"/>
      <c r="E246" s="13"/>
      <c r="F246" s="13"/>
      <c r="G246" s="13"/>
      <c r="H246" s="13"/>
      <c r="I246" s="13"/>
      <c r="J246" s="13"/>
      <c r="K246" s="13"/>
      <c r="L246" s="13"/>
      <c r="M246" s="13"/>
      <c r="N246" s="13"/>
      <c r="O246" s="13"/>
      <c r="P246" s="13"/>
      <c r="Q246" s="13"/>
      <c r="R246" s="13"/>
      <c r="S246" s="13"/>
      <c r="T246" s="13"/>
      <c r="U246" s="13"/>
      <c r="V246" s="13"/>
      <c r="W246" s="13"/>
    </row>
    <row r="247" ht="15.75" customHeight="1" spans="1:23">
      <c r="A247" s="13"/>
      <c r="B247" s="13"/>
      <c r="C247" s="13"/>
      <c r="D247" s="13"/>
      <c r="E247" s="13"/>
      <c r="F247" s="13"/>
      <c r="G247" s="13"/>
      <c r="H247" s="13"/>
      <c r="I247" s="13"/>
      <c r="J247" s="13"/>
      <c r="K247" s="13"/>
      <c r="L247" s="13"/>
      <c r="M247" s="13"/>
      <c r="N247" s="13"/>
      <c r="O247" s="13"/>
      <c r="P247" s="13"/>
      <c r="Q247" s="13"/>
      <c r="R247" s="13"/>
      <c r="S247" s="13"/>
      <c r="T247" s="13"/>
      <c r="U247" s="13"/>
      <c r="V247" s="13"/>
      <c r="W247" s="13"/>
    </row>
    <row r="248" ht="15.75" customHeight="1" spans="1:23">
      <c r="A248" s="13"/>
      <c r="B248" s="13"/>
      <c r="C248" s="13"/>
      <c r="D248" s="13"/>
      <c r="E248" s="13"/>
      <c r="F248" s="13"/>
      <c r="G248" s="13"/>
      <c r="H248" s="13"/>
      <c r="I248" s="13"/>
      <c r="J248" s="13"/>
      <c r="K248" s="13"/>
      <c r="L248" s="13"/>
      <c r="M248" s="13"/>
      <c r="N248" s="13"/>
      <c r="O248" s="13"/>
      <c r="P248" s="13"/>
      <c r="Q248" s="13"/>
      <c r="R248" s="13"/>
      <c r="S248" s="13"/>
      <c r="T248" s="13"/>
      <c r="U248" s="13"/>
      <c r="V248" s="13"/>
      <c r="W248" s="13"/>
    </row>
    <row r="249" ht="15.75" customHeight="1" spans="1:23">
      <c r="A249" s="13"/>
      <c r="B249" s="13"/>
      <c r="C249" s="13"/>
      <c r="D249" s="13"/>
      <c r="E249" s="13"/>
      <c r="F249" s="13"/>
      <c r="G249" s="13"/>
      <c r="H249" s="13"/>
      <c r="I249" s="13"/>
      <c r="J249" s="13"/>
      <c r="K249" s="13"/>
      <c r="L249" s="13"/>
      <c r="M249" s="13"/>
      <c r="N249" s="13"/>
      <c r="O249" s="13"/>
      <c r="P249" s="13"/>
      <c r="Q249" s="13"/>
      <c r="R249" s="13"/>
      <c r="S249" s="13"/>
      <c r="T249" s="13"/>
      <c r="U249" s="13"/>
      <c r="V249" s="13"/>
      <c r="W249" s="13"/>
    </row>
    <row r="250" ht="15.75" customHeight="1" spans="1:23">
      <c r="A250" s="13"/>
      <c r="B250" s="13"/>
      <c r="C250" s="13"/>
      <c r="D250" s="13"/>
      <c r="E250" s="13"/>
      <c r="F250" s="13"/>
      <c r="G250" s="13"/>
      <c r="H250" s="13"/>
      <c r="I250" s="13"/>
      <c r="J250" s="13"/>
      <c r="K250" s="13"/>
      <c r="L250" s="13"/>
      <c r="M250" s="13"/>
      <c r="N250" s="13"/>
      <c r="O250" s="13"/>
      <c r="P250" s="13"/>
      <c r="Q250" s="13"/>
      <c r="R250" s="13"/>
      <c r="S250" s="13"/>
      <c r="T250" s="13"/>
      <c r="U250" s="13"/>
      <c r="V250" s="13"/>
      <c r="W250" s="13"/>
    </row>
    <row r="251" ht="15.75" customHeight="1" spans="1:23">
      <c r="A251" s="13"/>
      <c r="B251" s="13"/>
      <c r="C251" s="13"/>
      <c r="D251" s="13"/>
      <c r="E251" s="13"/>
      <c r="F251" s="13"/>
      <c r="G251" s="13"/>
      <c r="H251" s="13"/>
      <c r="I251" s="13"/>
      <c r="J251" s="13"/>
      <c r="K251" s="13"/>
      <c r="L251" s="13"/>
      <c r="M251" s="13"/>
      <c r="N251" s="13"/>
      <c r="O251" s="13"/>
      <c r="P251" s="13"/>
      <c r="Q251" s="13"/>
      <c r="R251" s="13"/>
      <c r="S251" s="13"/>
      <c r="T251" s="13"/>
      <c r="U251" s="13"/>
      <c r="V251" s="13"/>
      <c r="W251" s="13"/>
    </row>
    <row r="252" ht="15.75" customHeight="1" spans="1:23">
      <c r="A252" s="13"/>
      <c r="B252" s="13"/>
      <c r="C252" s="13"/>
      <c r="D252" s="13"/>
      <c r="E252" s="13"/>
      <c r="F252" s="13"/>
      <c r="G252" s="13"/>
      <c r="H252" s="13"/>
      <c r="I252" s="13"/>
      <c r="J252" s="13"/>
      <c r="K252" s="13"/>
      <c r="L252" s="13"/>
      <c r="M252" s="13"/>
      <c r="N252" s="13"/>
      <c r="O252" s="13"/>
      <c r="P252" s="13"/>
      <c r="Q252" s="13"/>
      <c r="R252" s="13"/>
      <c r="S252" s="13"/>
      <c r="T252" s="13"/>
      <c r="U252" s="13"/>
      <c r="V252" s="13"/>
      <c r="W252" s="13"/>
    </row>
    <row r="253" ht="15.75" customHeight="1" spans="1:23">
      <c r="A253" s="13"/>
      <c r="B253" s="13"/>
      <c r="C253" s="13"/>
      <c r="D253" s="13"/>
      <c r="E253" s="13"/>
      <c r="F253" s="13"/>
      <c r="G253" s="13"/>
      <c r="H253" s="13"/>
      <c r="I253" s="13"/>
      <c r="J253" s="13"/>
      <c r="K253" s="13"/>
      <c r="L253" s="13"/>
      <c r="M253" s="13"/>
      <c r="N253" s="13"/>
      <c r="O253" s="13"/>
      <c r="P253" s="13"/>
      <c r="Q253" s="13"/>
      <c r="R253" s="13"/>
      <c r="S253" s="13"/>
      <c r="T253" s="13"/>
      <c r="U253" s="13"/>
      <c r="V253" s="13"/>
      <c r="W253" s="13"/>
    </row>
    <row r="254" ht="15.75" customHeight="1" spans="1:23">
      <c r="A254" s="13"/>
      <c r="B254" s="13"/>
      <c r="C254" s="13"/>
      <c r="D254" s="13"/>
      <c r="E254" s="13"/>
      <c r="F254" s="13"/>
      <c r="G254" s="13"/>
      <c r="H254" s="13"/>
      <c r="I254" s="13"/>
      <c r="J254" s="13"/>
      <c r="K254" s="13"/>
      <c r="L254" s="13"/>
      <c r="M254" s="13"/>
      <c r="N254" s="13"/>
      <c r="O254" s="13"/>
      <c r="P254" s="13"/>
      <c r="Q254" s="13"/>
      <c r="R254" s="13"/>
      <c r="S254" s="13"/>
      <c r="T254" s="13"/>
      <c r="U254" s="13"/>
      <c r="V254" s="13"/>
      <c r="W254" s="13"/>
    </row>
    <row r="255" ht="15.75" customHeight="1" spans="1:23">
      <c r="A255" s="13"/>
      <c r="B255" s="13"/>
      <c r="C255" s="13"/>
      <c r="D255" s="13"/>
      <c r="E255" s="13"/>
      <c r="F255" s="13"/>
      <c r="G255" s="13"/>
      <c r="H255" s="13"/>
      <c r="I255" s="13"/>
      <c r="J255" s="13"/>
      <c r="K255" s="13"/>
      <c r="L255" s="13"/>
      <c r="M255" s="13"/>
      <c r="N255" s="13"/>
      <c r="O255" s="13"/>
      <c r="P255" s="13"/>
      <c r="Q255" s="13"/>
      <c r="R255" s="13"/>
      <c r="S255" s="13"/>
      <c r="T255" s="13"/>
      <c r="U255" s="13"/>
      <c r="V255" s="13"/>
      <c r="W255" s="13"/>
    </row>
    <row r="256" ht="15.75" customHeight="1" spans="1:23">
      <c r="A256" s="13"/>
      <c r="B256" s="13"/>
      <c r="C256" s="13"/>
      <c r="D256" s="13"/>
      <c r="E256" s="13"/>
      <c r="F256" s="13"/>
      <c r="G256" s="13"/>
      <c r="H256" s="13"/>
      <c r="I256" s="13"/>
      <c r="J256" s="13"/>
      <c r="K256" s="13"/>
      <c r="L256" s="13"/>
      <c r="M256" s="13"/>
      <c r="N256" s="13"/>
      <c r="O256" s="13"/>
      <c r="P256" s="13"/>
      <c r="Q256" s="13"/>
      <c r="R256" s="13"/>
      <c r="S256" s="13"/>
      <c r="T256" s="13"/>
      <c r="U256" s="13"/>
      <c r="V256" s="13"/>
      <c r="W256" s="13"/>
    </row>
    <row r="257" ht="15.75" customHeight="1" spans="1:23">
      <c r="A257" s="13"/>
      <c r="B257" s="13"/>
      <c r="C257" s="13"/>
      <c r="D257" s="13"/>
      <c r="E257" s="13"/>
      <c r="F257" s="13"/>
      <c r="G257" s="13"/>
      <c r="H257" s="13"/>
      <c r="I257" s="13"/>
      <c r="J257" s="13"/>
      <c r="K257" s="13"/>
      <c r="L257" s="13"/>
      <c r="M257" s="13"/>
      <c r="N257" s="13"/>
      <c r="O257" s="13"/>
      <c r="P257" s="13"/>
      <c r="Q257" s="13"/>
      <c r="R257" s="13"/>
      <c r="S257" s="13"/>
      <c r="T257" s="13"/>
      <c r="U257" s="13"/>
      <c r="V257" s="13"/>
      <c r="W257" s="13"/>
    </row>
    <row r="258" ht="15.75" customHeight="1" spans="1:23">
      <c r="A258" s="13"/>
      <c r="B258" s="13"/>
      <c r="C258" s="13"/>
      <c r="D258" s="13"/>
      <c r="E258" s="13"/>
      <c r="F258" s="13"/>
      <c r="G258" s="13"/>
      <c r="H258" s="13"/>
      <c r="I258" s="13"/>
      <c r="J258" s="13"/>
      <c r="K258" s="13"/>
      <c r="L258" s="13"/>
      <c r="M258" s="13"/>
      <c r="N258" s="13"/>
      <c r="O258" s="13"/>
      <c r="P258" s="13"/>
      <c r="Q258" s="13"/>
      <c r="R258" s="13"/>
      <c r="S258" s="13"/>
      <c r="T258" s="13"/>
      <c r="U258" s="13"/>
      <c r="V258" s="13"/>
      <c r="W258" s="13"/>
    </row>
    <row r="259" ht="15.75" customHeight="1" spans="1:23">
      <c r="A259" s="13"/>
      <c r="B259" s="13"/>
      <c r="C259" s="13"/>
      <c r="D259" s="13"/>
      <c r="E259" s="13"/>
      <c r="F259" s="13"/>
      <c r="G259" s="13"/>
      <c r="H259" s="13"/>
      <c r="I259" s="13"/>
      <c r="J259" s="13"/>
      <c r="K259" s="13"/>
      <c r="L259" s="13"/>
      <c r="M259" s="13"/>
      <c r="N259" s="13"/>
      <c r="O259" s="13"/>
      <c r="P259" s="13"/>
      <c r="Q259" s="13"/>
      <c r="R259" s="13"/>
      <c r="S259" s="13"/>
      <c r="T259" s="13"/>
      <c r="U259" s="13"/>
      <c r="V259" s="13"/>
      <c r="W259" s="13"/>
    </row>
    <row r="260" ht="15.75" customHeight="1" spans="1:23">
      <c r="A260" s="13"/>
      <c r="B260" s="13"/>
      <c r="C260" s="13"/>
      <c r="D260" s="13"/>
      <c r="E260" s="13"/>
      <c r="F260" s="13"/>
      <c r="G260" s="13"/>
      <c r="H260" s="13"/>
      <c r="I260" s="13"/>
      <c r="J260" s="13"/>
      <c r="K260" s="13"/>
      <c r="L260" s="13"/>
      <c r="M260" s="13"/>
      <c r="N260" s="13"/>
      <c r="O260" s="13"/>
      <c r="P260" s="13"/>
      <c r="Q260" s="13"/>
      <c r="R260" s="13"/>
      <c r="S260" s="13"/>
      <c r="T260" s="13"/>
      <c r="U260" s="13"/>
      <c r="V260" s="13"/>
      <c r="W260" s="13"/>
    </row>
    <row r="261" ht="15.75" customHeight="1" spans="1:23">
      <c r="A261" s="13"/>
      <c r="B261" s="13"/>
      <c r="C261" s="13"/>
      <c r="D261" s="13"/>
      <c r="E261" s="13"/>
      <c r="F261" s="13"/>
      <c r="G261" s="13"/>
      <c r="H261" s="13"/>
      <c r="I261" s="13"/>
      <c r="J261" s="13"/>
      <c r="K261" s="13"/>
      <c r="L261" s="13"/>
      <c r="M261" s="13"/>
      <c r="N261" s="13"/>
      <c r="O261" s="13"/>
      <c r="P261" s="13"/>
      <c r="Q261" s="13"/>
      <c r="R261" s="13"/>
      <c r="S261" s="13"/>
      <c r="T261" s="13"/>
      <c r="U261" s="13"/>
      <c r="V261" s="13"/>
      <c r="W261" s="13"/>
    </row>
    <row r="262" ht="15.75" customHeight="1" spans="1:23">
      <c r="A262" s="13"/>
      <c r="B262" s="13"/>
      <c r="C262" s="13"/>
      <c r="D262" s="13"/>
      <c r="E262" s="13"/>
      <c r="F262" s="13"/>
      <c r="G262" s="13"/>
      <c r="H262" s="13"/>
      <c r="I262" s="13"/>
      <c r="J262" s="13"/>
      <c r="K262" s="13"/>
      <c r="L262" s="13"/>
      <c r="M262" s="13"/>
      <c r="N262" s="13"/>
      <c r="O262" s="13"/>
      <c r="P262" s="13"/>
      <c r="Q262" s="13"/>
      <c r="R262" s="13"/>
      <c r="S262" s="13"/>
      <c r="T262" s="13"/>
      <c r="U262" s="13"/>
      <c r="V262" s="13"/>
      <c r="W262" s="13"/>
    </row>
    <row r="263" ht="15.75" customHeight="1" spans="1:23">
      <c r="A263" s="13"/>
      <c r="B263" s="13"/>
      <c r="C263" s="13"/>
      <c r="D263" s="13"/>
      <c r="E263" s="13"/>
      <c r="F263" s="13"/>
      <c r="G263" s="13"/>
      <c r="H263" s="13"/>
      <c r="I263" s="13"/>
      <c r="J263" s="13"/>
      <c r="K263" s="13"/>
      <c r="L263" s="13"/>
      <c r="M263" s="13"/>
      <c r="N263" s="13"/>
      <c r="O263" s="13"/>
      <c r="P263" s="13"/>
      <c r="Q263" s="13"/>
      <c r="R263" s="13"/>
      <c r="S263" s="13"/>
      <c r="T263" s="13"/>
      <c r="U263" s="13"/>
      <c r="V263" s="13"/>
      <c r="W263" s="13"/>
    </row>
    <row r="264" ht="15.75" customHeight="1" spans="1:23">
      <c r="A264" s="13"/>
      <c r="B264" s="13"/>
      <c r="C264" s="13"/>
      <c r="D264" s="13"/>
      <c r="E264" s="13"/>
      <c r="F264" s="13"/>
      <c r="G264" s="13"/>
      <c r="H264" s="13"/>
      <c r="I264" s="13"/>
      <c r="J264" s="13"/>
      <c r="K264" s="13"/>
      <c r="L264" s="13"/>
      <c r="M264" s="13"/>
      <c r="N264" s="13"/>
      <c r="O264" s="13"/>
      <c r="P264" s="13"/>
      <c r="Q264" s="13"/>
      <c r="R264" s="13"/>
      <c r="S264" s="13"/>
      <c r="T264" s="13"/>
      <c r="U264" s="13"/>
      <c r="V264" s="13"/>
      <c r="W264" s="13"/>
    </row>
    <row r="265" ht="15.75" customHeight="1" spans="1:23">
      <c r="A265" s="13"/>
      <c r="B265" s="13"/>
      <c r="C265" s="13"/>
      <c r="D265" s="13"/>
      <c r="E265" s="13"/>
      <c r="F265" s="13"/>
      <c r="G265" s="13"/>
      <c r="H265" s="13"/>
      <c r="I265" s="13"/>
      <c r="J265" s="13"/>
      <c r="K265" s="13"/>
      <c r="L265" s="13"/>
      <c r="M265" s="13"/>
      <c r="N265" s="13"/>
      <c r="O265" s="13"/>
      <c r="P265" s="13"/>
      <c r="Q265" s="13"/>
      <c r="R265" s="13"/>
      <c r="S265" s="13"/>
      <c r="T265" s="13"/>
      <c r="U265" s="13"/>
      <c r="V265" s="13"/>
      <c r="W265" s="13"/>
    </row>
    <row r="266" ht="15.75" customHeight="1" spans="1:23">
      <c r="A266" s="13"/>
      <c r="B266" s="13"/>
      <c r="C266" s="13"/>
      <c r="D266" s="13"/>
      <c r="E266" s="13"/>
      <c r="F266" s="13"/>
      <c r="G266" s="13"/>
      <c r="H266" s="13"/>
      <c r="I266" s="13"/>
      <c r="J266" s="13"/>
      <c r="K266" s="13"/>
      <c r="L266" s="13"/>
      <c r="M266" s="13"/>
      <c r="N266" s="13"/>
      <c r="O266" s="13"/>
      <c r="P266" s="13"/>
      <c r="Q266" s="13"/>
      <c r="R266" s="13"/>
      <c r="S266" s="13"/>
      <c r="T266" s="13"/>
      <c r="U266" s="13"/>
      <c r="V266" s="13"/>
      <c r="W266" s="13"/>
    </row>
    <row r="267" ht="15.75" customHeight="1" spans="1:23">
      <c r="A267" s="13"/>
      <c r="B267" s="13"/>
      <c r="C267" s="13"/>
      <c r="D267" s="13"/>
      <c r="E267" s="13"/>
      <c r="F267" s="13"/>
      <c r="G267" s="13"/>
      <c r="H267" s="13"/>
      <c r="I267" s="13"/>
      <c r="J267" s="13"/>
      <c r="K267" s="13"/>
      <c r="L267" s="13"/>
      <c r="M267" s="13"/>
      <c r="N267" s="13"/>
      <c r="O267" s="13"/>
      <c r="P267" s="13"/>
      <c r="Q267" s="13"/>
      <c r="R267" s="13"/>
      <c r="S267" s="13"/>
      <c r="T267" s="13"/>
      <c r="U267" s="13"/>
      <c r="V267" s="13"/>
      <c r="W267" s="13"/>
    </row>
    <row r="268" ht="15.75" customHeight="1" spans="1:23">
      <c r="A268" s="13"/>
      <c r="B268" s="13"/>
      <c r="C268" s="13"/>
      <c r="D268" s="13"/>
      <c r="E268" s="13"/>
      <c r="F268" s="13"/>
      <c r="G268" s="13"/>
      <c r="H268" s="13"/>
      <c r="I268" s="13"/>
      <c r="J268" s="13"/>
      <c r="K268" s="13"/>
      <c r="L268" s="13"/>
      <c r="M268" s="13"/>
      <c r="N268" s="13"/>
      <c r="O268" s="13"/>
      <c r="P268" s="13"/>
      <c r="Q268" s="13"/>
      <c r="R268" s="13"/>
      <c r="S268" s="13"/>
      <c r="T268" s="13"/>
      <c r="U268" s="13"/>
      <c r="V268" s="13"/>
      <c r="W268" s="13"/>
    </row>
    <row r="269" ht="15.75" customHeight="1" spans="1:23">
      <c r="A269" s="13"/>
      <c r="B269" s="13"/>
      <c r="C269" s="13"/>
      <c r="D269" s="13"/>
      <c r="E269" s="13"/>
      <c r="F269" s="13"/>
      <c r="G269" s="13"/>
      <c r="H269" s="13"/>
      <c r="I269" s="13"/>
      <c r="J269" s="13"/>
      <c r="K269" s="13"/>
      <c r="L269" s="13"/>
      <c r="M269" s="13"/>
      <c r="N269" s="13"/>
      <c r="O269" s="13"/>
      <c r="P269" s="13"/>
      <c r="Q269" s="13"/>
      <c r="R269" s="13"/>
      <c r="S269" s="13"/>
      <c r="T269" s="13"/>
      <c r="U269" s="13"/>
      <c r="V269" s="13"/>
      <c r="W269" s="13"/>
    </row>
    <row r="270" ht="15.75" customHeight="1" spans="1:23">
      <c r="A270" s="13"/>
      <c r="B270" s="13"/>
      <c r="C270" s="13"/>
      <c r="D270" s="13"/>
      <c r="E270" s="13"/>
      <c r="F270" s="13"/>
      <c r="G270" s="13"/>
      <c r="H270" s="13"/>
      <c r="I270" s="13"/>
      <c r="J270" s="13"/>
      <c r="K270" s="13"/>
      <c r="L270" s="13"/>
      <c r="M270" s="13"/>
      <c r="N270" s="13"/>
      <c r="O270" s="13"/>
      <c r="P270" s="13"/>
      <c r="Q270" s="13"/>
      <c r="R270" s="13"/>
      <c r="S270" s="13"/>
      <c r="T270" s="13"/>
      <c r="U270" s="13"/>
      <c r="V270" s="13"/>
      <c r="W270" s="13"/>
    </row>
    <row r="271" ht="15.75" customHeight="1" spans="1:23">
      <c r="A271" s="13"/>
      <c r="B271" s="13"/>
      <c r="C271" s="13"/>
      <c r="D271" s="13"/>
      <c r="E271" s="13"/>
      <c r="F271" s="13"/>
      <c r="G271" s="13"/>
      <c r="H271" s="13"/>
      <c r="I271" s="13"/>
      <c r="J271" s="13"/>
      <c r="K271" s="13"/>
      <c r="L271" s="13"/>
      <c r="M271" s="13"/>
      <c r="N271" s="13"/>
      <c r="O271" s="13"/>
      <c r="P271" s="13"/>
      <c r="Q271" s="13"/>
      <c r="R271" s="13"/>
      <c r="S271" s="13"/>
      <c r="T271" s="13"/>
      <c r="U271" s="13"/>
      <c r="V271" s="13"/>
      <c r="W271" s="13"/>
    </row>
    <row r="272" ht="15.75" customHeight="1" spans="1:23">
      <c r="A272" s="13"/>
      <c r="B272" s="13"/>
      <c r="C272" s="13"/>
      <c r="D272" s="13"/>
      <c r="E272" s="13"/>
      <c r="F272" s="13"/>
      <c r="G272" s="13"/>
      <c r="H272" s="13"/>
      <c r="I272" s="13"/>
      <c r="J272" s="13"/>
      <c r="K272" s="13"/>
      <c r="L272" s="13"/>
      <c r="M272" s="13"/>
      <c r="N272" s="13"/>
      <c r="O272" s="13"/>
      <c r="P272" s="13"/>
      <c r="Q272" s="13"/>
      <c r="R272" s="13"/>
      <c r="S272" s="13"/>
      <c r="T272" s="13"/>
      <c r="U272" s="13"/>
      <c r="V272" s="13"/>
      <c r="W272" s="13"/>
    </row>
    <row r="273" ht="15.75" customHeight="1" spans="1:23">
      <c r="A273" s="13"/>
      <c r="B273" s="13"/>
      <c r="C273" s="13"/>
      <c r="D273" s="13"/>
      <c r="E273" s="13"/>
      <c r="F273" s="13"/>
      <c r="G273" s="13"/>
      <c r="H273" s="13"/>
      <c r="I273" s="13"/>
      <c r="J273" s="13"/>
      <c r="K273" s="13"/>
      <c r="L273" s="13"/>
      <c r="M273" s="13"/>
      <c r="N273" s="13"/>
      <c r="O273" s="13"/>
      <c r="P273" s="13"/>
      <c r="Q273" s="13"/>
      <c r="R273" s="13"/>
      <c r="S273" s="13"/>
      <c r="T273" s="13"/>
      <c r="U273" s="13"/>
      <c r="V273" s="13"/>
      <c r="W273" s="13"/>
    </row>
    <row r="274" ht="15.75" customHeight="1" spans="1:23">
      <c r="A274" s="13"/>
      <c r="B274" s="13"/>
      <c r="C274" s="13"/>
      <c r="D274" s="13"/>
      <c r="E274" s="13"/>
      <c r="F274" s="13"/>
      <c r="G274" s="13"/>
      <c r="H274" s="13"/>
      <c r="I274" s="13"/>
      <c r="J274" s="13"/>
      <c r="K274" s="13"/>
      <c r="L274" s="13"/>
      <c r="M274" s="13"/>
      <c r="N274" s="13"/>
      <c r="O274" s="13"/>
      <c r="P274" s="13"/>
      <c r="Q274" s="13"/>
      <c r="R274" s="13"/>
      <c r="S274" s="13"/>
      <c r="T274" s="13"/>
      <c r="U274" s="13"/>
      <c r="V274" s="13"/>
      <c r="W274" s="13"/>
    </row>
    <row r="275" ht="15.75" customHeight="1" spans="1:23">
      <c r="A275" s="13"/>
      <c r="B275" s="13"/>
      <c r="C275" s="13"/>
      <c r="D275" s="13"/>
      <c r="E275" s="13"/>
      <c r="F275" s="13"/>
      <c r="G275" s="13"/>
      <c r="H275" s="13"/>
      <c r="I275" s="13"/>
      <c r="J275" s="13"/>
      <c r="K275" s="13"/>
      <c r="L275" s="13"/>
      <c r="M275" s="13"/>
      <c r="N275" s="13"/>
      <c r="O275" s="13"/>
      <c r="P275" s="13"/>
      <c r="Q275" s="13"/>
      <c r="R275" s="13"/>
      <c r="S275" s="13"/>
      <c r="T275" s="13"/>
      <c r="U275" s="13"/>
      <c r="V275" s="13"/>
      <c r="W275" s="13"/>
    </row>
    <row r="276" ht="15.75" customHeight="1" spans="1:23">
      <c r="A276" s="13"/>
      <c r="B276" s="13"/>
      <c r="C276" s="13"/>
      <c r="D276" s="13"/>
      <c r="E276" s="13"/>
      <c r="F276" s="13"/>
      <c r="G276" s="13"/>
      <c r="H276" s="13"/>
      <c r="I276" s="13"/>
      <c r="J276" s="13"/>
      <c r="K276" s="13"/>
      <c r="L276" s="13"/>
      <c r="M276" s="13"/>
      <c r="N276" s="13"/>
      <c r="O276" s="13"/>
      <c r="P276" s="13"/>
      <c r="Q276" s="13"/>
      <c r="R276" s="13"/>
      <c r="S276" s="13"/>
      <c r="T276" s="13"/>
      <c r="U276" s="13"/>
      <c r="V276" s="13"/>
      <c r="W276" s="13"/>
    </row>
    <row r="277" ht="15.75" customHeight="1" spans="1:23">
      <c r="A277" s="13"/>
      <c r="B277" s="13"/>
      <c r="C277" s="13"/>
      <c r="D277" s="13"/>
      <c r="E277" s="13"/>
      <c r="F277" s="13"/>
      <c r="G277" s="13"/>
      <c r="H277" s="13"/>
      <c r="I277" s="13"/>
      <c r="J277" s="13"/>
      <c r="K277" s="13"/>
      <c r="L277" s="13"/>
      <c r="M277" s="13"/>
      <c r="N277" s="13"/>
      <c r="O277" s="13"/>
      <c r="P277" s="13"/>
      <c r="Q277" s="13"/>
      <c r="R277" s="13"/>
      <c r="S277" s="13"/>
      <c r="T277" s="13"/>
      <c r="U277" s="13"/>
      <c r="V277" s="13"/>
      <c r="W277" s="13"/>
    </row>
    <row r="278" ht="15.75" customHeight="1" spans="1:23">
      <c r="A278" s="13"/>
      <c r="B278" s="13"/>
      <c r="C278" s="13"/>
      <c r="D278" s="13"/>
      <c r="E278" s="13"/>
      <c r="F278" s="13"/>
      <c r="G278" s="13"/>
      <c r="H278" s="13"/>
      <c r="I278" s="13"/>
      <c r="J278" s="13"/>
      <c r="K278" s="13"/>
      <c r="L278" s="13"/>
      <c r="M278" s="13"/>
      <c r="N278" s="13"/>
      <c r="O278" s="13"/>
      <c r="P278" s="13"/>
      <c r="Q278" s="13"/>
      <c r="R278" s="13"/>
      <c r="S278" s="13"/>
      <c r="T278" s="13"/>
      <c r="U278" s="13"/>
      <c r="V278" s="13"/>
      <c r="W278" s="13"/>
    </row>
    <row r="279" ht="15.75" customHeight="1" spans="1:23">
      <c r="A279" s="13"/>
      <c r="B279" s="13"/>
      <c r="C279" s="13"/>
      <c r="D279" s="13"/>
      <c r="E279" s="13"/>
      <c r="F279" s="13"/>
      <c r="G279" s="13"/>
      <c r="H279" s="13"/>
      <c r="I279" s="13"/>
      <c r="J279" s="13"/>
      <c r="K279" s="13"/>
      <c r="L279" s="13"/>
      <c r="M279" s="13"/>
      <c r="N279" s="13"/>
      <c r="O279" s="13"/>
      <c r="P279" s="13"/>
      <c r="Q279" s="13"/>
      <c r="R279" s="13"/>
      <c r="S279" s="13"/>
      <c r="T279" s="13"/>
      <c r="U279" s="13"/>
      <c r="V279" s="13"/>
      <c r="W279" s="13"/>
    </row>
    <row r="280" ht="15.75" customHeight="1" spans="1:23">
      <c r="A280" s="13"/>
      <c r="B280" s="13"/>
      <c r="C280" s="13"/>
      <c r="D280" s="13"/>
      <c r="E280" s="13"/>
      <c r="F280" s="13"/>
      <c r="G280" s="13"/>
      <c r="H280" s="13"/>
      <c r="I280" s="13"/>
      <c r="J280" s="13"/>
      <c r="K280" s="13"/>
      <c r="L280" s="13"/>
      <c r="M280" s="13"/>
      <c r="N280" s="13"/>
      <c r="O280" s="13"/>
      <c r="P280" s="13"/>
      <c r="Q280" s="13"/>
      <c r="R280" s="13"/>
      <c r="S280" s="13"/>
      <c r="T280" s="13"/>
      <c r="U280" s="13"/>
      <c r="V280" s="13"/>
      <c r="W280" s="13"/>
    </row>
    <row r="281" ht="15.75" customHeight="1" spans="1:23">
      <c r="A281" s="13"/>
      <c r="B281" s="13"/>
      <c r="C281" s="13"/>
      <c r="D281" s="13"/>
      <c r="E281" s="13"/>
      <c r="F281" s="13"/>
      <c r="G281" s="13"/>
      <c r="H281" s="13"/>
      <c r="I281" s="13"/>
      <c r="J281" s="13"/>
      <c r="K281" s="13"/>
      <c r="L281" s="13"/>
      <c r="M281" s="13"/>
      <c r="N281" s="13"/>
      <c r="O281" s="13"/>
      <c r="P281" s="13"/>
      <c r="Q281" s="13"/>
      <c r="R281" s="13"/>
      <c r="S281" s="13"/>
      <c r="T281" s="13"/>
      <c r="U281" s="13"/>
      <c r="V281" s="13"/>
      <c r="W281" s="13"/>
    </row>
    <row r="282" ht="15.75" customHeight="1" spans="1:23">
      <c r="A282" s="13"/>
      <c r="B282" s="13"/>
      <c r="C282" s="13"/>
      <c r="D282" s="13"/>
      <c r="E282" s="13"/>
      <c r="F282" s="13"/>
      <c r="G282" s="13"/>
      <c r="H282" s="13"/>
      <c r="I282" s="13"/>
      <c r="J282" s="13"/>
      <c r="K282" s="13"/>
      <c r="L282" s="13"/>
      <c r="M282" s="13"/>
      <c r="N282" s="13"/>
      <c r="O282" s="13"/>
      <c r="P282" s="13"/>
      <c r="Q282" s="13"/>
      <c r="R282" s="13"/>
      <c r="S282" s="13"/>
      <c r="T282" s="13"/>
      <c r="U282" s="13"/>
      <c r="V282" s="13"/>
      <c r="W282" s="13"/>
    </row>
    <row r="283" ht="15.75" customHeight="1" spans="1:23">
      <c r="A283" s="13"/>
      <c r="B283" s="13"/>
      <c r="C283" s="13"/>
      <c r="D283" s="13"/>
      <c r="E283" s="13"/>
      <c r="F283" s="13"/>
      <c r="G283" s="13"/>
      <c r="H283" s="13"/>
      <c r="I283" s="13"/>
      <c r="J283" s="13"/>
      <c r="K283" s="13"/>
      <c r="L283" s="13"/>
      <c r="M283" s="13"/>
      <c r="N283" s="13"/>
      <c r="O283" s="13"/>
      <c r="P283" s="13"/>
      <c r="Q283" s="13"/>
      <c r="R283" s="13"/>
      <c r="S283" s="13"/>
      <c r="T283" s="13"/>
      <c r="U283" s="13"/>
      <c r="V283" s="13"/>
      <c r="W283" s="13"/>
    </row>
    <row r="284" ht="15.75" customHeight="1" spans="1:23">
      <c r="A284" s="13"/>
      <c r="B284" s="13"/>
      <c r="C284" s="13"/>
      <c r="D284" s="13"/>
      <c r="E284" s="13"/>
      <c r="F284" s="13"/>
      <c r="G284" s="13"/>
      <c r="H284" s="13"/>
      <c r="I284" s="13"/>
      <c r="J284" s="13"/>
      <c r="K284" s="13"/>
      <c r="L284" s="13"/>
      <c r="M284" s="13"/>
      <c r="N284" s="13"/>
      <c r="O284" s="13"/>
      <c r="P284" s="13"/>
      <c r="Q284" s="13"/>
      <c r="R284" s="13"/>
      <c r="S284" s="13"/>
      <c r="T284" s="13"/>
      <c r="U284" s="13"/>
      <c r="V284" s="13"/>
      <c r="W284" s="13"/>
    </row>
    <row r="285" ht="15.75" customHeight="1" spans="1:23">
      <c r="A285" s="13"/>
      <c r="B285" s="13"/>
      <c r="C285" s="13"/>
      <c r="D285" s="13"/>
      <c r="E285" s="13"/>
      <c r="F285" s="13"/>
      <c r="G285" s="13"/>
      <c r="H285" s="13"/>
      <c r="I285" s="13"/>
      <c r="J285" s="13"/>
      <c r="K285" s="13"/>
      <c r="L285" s="13"/>
      <c r="M285" s="13"/>
      <c r="N285" s="13"/>
      <c r="O285" s="13"/>
      <c r="P285" s="13"/>
      <c r="Q285" s="13"/>
      <c r="R285" s="13"/>
      <c r="S285" s="13"/>
      <c r="T285" s="13"/>
      <c r="U285" s="13"/>
      <c r="V285" s="13"/>
      <c r="W285" s="13"/>
    </row>
    <row r="286" ht="15.75" customHeight="1" spans="1:23">
      <c r="A286" s="13"/>
      <c r="B286" s="13"/>
      <c r="C286" s="13"/>
      <c r="D286" s="13"/>
      <c r="E286" s="13"/>
      <c r="F286" s="13"/>
      <c r="G286" s="13"/>
      <c r="H286" s="13"/>
      <c r="I286" s="13"/>
      <c r="J286" s="13"/>
      <c r="K286" s="13"/>
      <c r="L286" s="13"/>
      <c r="M286" s="13"/>
      <c r="N286" s="13"/>
      <c r="O286" s="13"/>
      <c r="P286" s="13"/>
      <c r="Q286" s="13"/>
      <c r="R286" s="13"/>
      <c r="S286" s="13"/>
      <c r="T286" s="13"/>
      <c r="U286" s="13"/>
      <c r="V286" s="13"/>
      <c r="W286" s="13"/>
    </row>
    <row r="287" ht="15.75" customHeight="1" spans="1:23">
      <c r="A287" s="13"/>
      <c r="B287" s="13"/>
      <c r="C287" s="13"/>
      <c r="D287" s="13"/>
      <c r="E287" s="13"/>
      <c r="F287" s="13"/>
      <c r="G287" s="13"/>
      <c r="H287" s="13"/>
      <c r="I287" s="13"/>
      <c r="J287" s="13"/>
      <c r="K287" s="13"/>
      <c r="L287" s="13"/>
      <c r="M287" s="13"/>
      <c r="N287" s="13"/>
      <c r="O287" s="13"/>
      <c r="P287" s="13"/>
      <c r="Q287" s="13"/>
      <c r="R287" s="13"/>
      <c r="S287" s="13"/>
      <c r="T287" s="13"/>
      <c r="U287" s="13"/>
      <c r="V287" s="13"/>
      <c r="W287" s="13"/>
    </row>
    <row r="288" ht="15.75" customHeight="1" spans="1:23">
      <c r="A288" s="13"/>
      <c r="B288" s="13"/>
      <c r="C288" s="13"/>
      <c r="D288" s="13"/>
      <c r="E288" s="13"/>
      <c r="F288" s="13"/>
      <c r="G288" s="13"/>
      <c r="H288" s="13"/>
      <c r="I288" s="13"/>
      <c r="J288" s="13"/>
      <c r="K288" s="13"/>
      <c r="L288" s="13"/>
      <c r="M288" s="13"/>
      <c r="N288" s="13"/>
      <c r="O288" s="13"/>
      <c r="P288" s="13"/>
      <c r="Q288" s="13"/>
      <c r="R288" s="13"/>
      <c r="S288" s="13"/>
      <c r="T288" s="13"/>
      <c r="U288" s="13"/>
      <c r="V288" s="13"/>
      <c r="W288" s="13"/>
    </row>
    <row r="289" ht="15.75" customHeight="1" spans="1:23">
      <c r="A289" s="13"/>
      <c r="B289" s="13"/>
      <c r="C289" s="13"/>
      <c r="D289" s="13"/>
      <c r="E289" s="13"/>
      <c r="F289" s="13"/>
      <c r="G289" s="13"/>
      <c r="H289" s="13"/>
      <c r="I289" s="13"/>
      <c r="J289" s="13"/>
      <c r="K289" s="13"/>
      <c r="L289" s="13"/>
      <c r="M289" s="13"/>
      <c r="N289" s="13"/>
      <c r="O289" s="13"/>
      <c r="P289" s="13"/>
      <c r="Q289" s="13"/>
      <c r="R289" s="13"/>
      <c r="S289" s="13"/>
      <c r="T289" s="13"/>
      <c r="U289" s="13"/>
      <c r="V289" s="13"/>
      <c r="W289" s="13"/>
    </row>
    <row r="290" ht="15.75" customHeight="1" spans="1:23">
      <c r="A290" s="13"/>
      <c r="B290" s="13"/>
      <c r="C290" s="13"/>
      <c r="D290" s="13"/>
      <c r="E290" s="13"/>
      <c r="F290" s="13"/>
      <c r="G290" s="13"/>
      <c r="H290" s="13"/>
      <c r="I290" s="13"/>
      <c r="J290" s="13"/>
      <c r="K290" s="13"/>
      <c r="L290" s="13"/>
      <c r="M290" s="13"/>
      <c r="N290" s="13"/>
      <c r="O290" s="13"/>
      <c r="P290" s="13"/>
      <c r="Q290" s="13"/>
      <c r="R290" s="13"/>
      <c r="S290" s="13"/>
      <c r="T290" s="13"/>
      <c r="U290" s="13"/>
      <c r="V290" s="13"/>
      <c r="W290" s="13"/>
    </row>
    <row r="291" ht="15.75" customHeight="1" spans="1:23">
      <c r="A291" s="13"/>
      <c r="B291" s="13"/>
      <c r="C291" s="13"/>
      <c r="D291" s="13"/>
      <c r="E291" s="13"/>
      <c r="F291" s="13"/>
      <c r="G291" s="13"/>
      <c r="H291" s="13"/>
      <c r="I291" s="13"/>
      <c r="J291" s="13"/>
      <c r="K291" s="13"/>
      <c r="L291" s="13"/>
      <c r="M291" s="13"/>
      <c r="N291" s="13"/>
      <c r="O291" s="13"/>
      <c r="P291" s="13"/>
      <c r="Q291" s="13"/>
      <c r="R291" s="13"/>
      <c r="S291" s="13"/>
      <c r="T291" s="13"/>
      <c r="U291" s="13"/>
      <c r="V291" s="13"/>
      <c r="W291" s="13"/>
    </row>
    <row r="292" ht="15.75" customHeight="1" spans="1:23">
      <c r="A292" s="13"/>
      <c r="B292" s="13"/>
      <c r="C292" s="13"/>
      <c r="D292" s="13"/>
      <c r="E292" s="13"/>
      <c r="F292" s="13"/>
      <c r="G292" s="13"/>
      <c r="H292" s="13"/>
      <c r="I292" s="13"/>
      <c r="J292" s="13"/>
      <c r="K292" s="13"/>
      <c r="L292" s="13"/>
      <c r="M292" s="13"/>
      <c r="N292" s="13"/>
      <c r="O292" s="13"/>
      <c r="P292" s="13"/>
      <c r="Q292" s="13"/>
      <c r="R292" s="13"/>
      <c r="S292" s="13"/>
      <c r="T292" s="13"/>
      <c r="U292" s="13"/>
      <c r="V292" s="13"/>
      <c r="W292" s="13"/>
    </row>
    <row r="293" ht="15.75" customHeight="1" spans="1:23">
      <c r="A293" s="13"/>
      <c r="B293" s="13"/>
      <c r="C293" s="13"/>
      <c r="D293" s="13"/>
      <c r="E293" s="13"/>
      <c r="F293" s="13"/>
      <c r="G293" s="13"/>
      <c r="H293" s="13"/>
      <c r="I293" s="13"/>
      <c r="J293" s="13"/>
      <c r="K293" s="13"/>
      <c r="L293" s="13"/>
      <c r="M293" s="13"/>
      <c r="N293" s="13"/>
      <c r="O293" s="13"/>
      <c r="P293" s="13"/>
      <c r="Q293" s="13"/>
      <c r="R293" s="13"/>
      <c r="S293" s="13"/>
      <c r="T293" s="13"/>
      <c r="U293" s="13"/>
      <c r="V293" s="13"/>
      <c r="W293" s="13"/>
    </row>
    <row r="294" ht="15.75" customHeight="1" spans="1:23">
      <c r="A294" s="13"/>
      <c r="B294" s="13"/>
      <c r="C294" s="13"/>
      <c r="D294" s="13"/>
      <c r="E294" s="13"/>
      <c r="F294" s="13"/>
      <c r="G294" s="13"/>
      <c r="H294" s="13"/>
      <c r="I294" s="13"/>
      <c r="J294" s="13"/>
      <c r="K294" s="13"/>
      <c r="L294" s="13"/>
      <c r="M294" s="13"/>
      <c r="N294" s="13"/>
      <c r="O294" s="13"/>
      <c r="P294" s="13"/>
      <c r="Q294" s="13"/>
      <c r="R294" s="13"/>
      <c r="S294" s="13"/>
      <c r="T294" s="13"/>
      <c r="U294" s="13"/>
      <c r="V294" s="13"/>
      <c r="W294" s="13"/>
    </row>
    <row r="295" ht="15.75" customHeight="1" spans="1:23">
      <c r="A295" s="13"/>
      <c r="B295" s="13"/>
      <c r="C295" s="13"/>
      <c r="D295" s="13"/>
      <c r="E295" s="13"/>
      <c r="F295" s="13"/>
      <c r="G295" s="13"/>
      <c r="H295" s="13"/>
      <c r="I295" s="13"/>
      <c r="J295" s="13"/>
      <c r="K295" s="13"/>
      <c r="L295" s="13"/>
      <c r="M295" s="13"/>
      <c r="N295" s="13"/>
      <c r="O295" s="13"/>
      <c r="P295" s="13"/>
      <c r="Q295" s="13"/>
      <c r="R295" s="13"/>
      <c r="S295" s="13"/>
      <c r="T295" s="13"/>
      <c r="U295" s="13"/>
      <c r="V295" s="13"/>
      <c r="W295" s="13"/>
    </row>
    <row r="296" ht="15.75" customHeight="1" spans="1:23">
      <c r="A296" s="13"/>
      <c r="B296" s="13"/>
      <c r="C296" s="13"/>
      <c r="D296" s="13"/>
      <c r="E296" s="13"/>
      <c r="F296" s="13"/>
      <c r="G296" s="13"/>
      <c r="H296" s="13"/>
      <c r="I296" s="13"/>
      <c r="J296" s="13"/>
      <c r="K296" s="13"/>
      <c r="L296" s="13"/>
      <c r="M296" s="13"/>
      <c r="N296" s="13"/>
      <c r="O296" s="13"/>
      <c r="P296" s="13"/>
      <c r="Q296" s="13"/>
      <c r="R296" s="13"/>
      <c r="S296" s="13"/>
      <c r="T296" s="13"/>
      <c r="U296" s="13"/>
      <c r="V296" s="13"/>
      <c r="W296" s="13"/>
    </row>
    <row r="297" ht="15.75" customHeight="1" spans="1:23">
      <c r="A297" s="13"/>
      <c r="B297" s="13"/>
      <c r="C297" s="13"/>
      <c r="D297" s="13"/>
      <c r="E297" s="13"/>
      <c r="F297" s="13"/>
      <c r="G297" s="13"/>
      <c r="H297" s="13"/>
      <c r="I297" s="13"/>
      <c r="J297" s="13"/>
      <c r="K297" s="13"/>
      <c r="L297" s="13"/>
      <c r="M297" s="13"/>
      <c r="N297" s="13"/>
      <c r="O297" s="13"/>
      <c r="P297" s="13"/>
      <c r="Q297" s="13"/>
      <c r="R297" s="13"/>
      <c r="S297" s="13"/>
      <c r="T297" s="13"/>
      <c r="U297" s="13"/>
      <c r="V297" s="13"/>
      <c r="W297" s="13"/>
    </row>
    <row r="298" ht="15.75" customHeight="1" spans="1:23">
      <c r="A298" s="13"/>
      <c r="B298" s="13"/>
      <c r="C298" s="13"/>
      <c r="D298" s="13"/>
      <c r="E298" s="13"/>
      <c r="F298" s="13"/>
      <c r="G298" s="13"/>
      <c r="H298" s="13"/>
      <c r="I298" s="13"/>
      <c r="J298" s="13"/>
      <c r="K298" s="13"/>
      <c r="L298" s="13"/>
      <c r="M298" s="13"/>
      <c r="N298" s="13"/>
      <c r="O298" s="13"/>
      <c r="P298" s="13"/>
      <c r="Q298" s="13"/>
      <c r="R298" s="13"/>
      <c r="S298" s="13"/>
      <c r="T298" s="13"/>
      <c r="U298" s="13"/>
      <c r="V298" s="13"/>
      <c r="W298" s="13"/>
    </row>
    <row r="299" ht="15.75" customHeight="1" spans="1:23">
      <c r="A299" s="13"/>
      <c r="B299" s="13"/>
      <c r="C299" s="13"/>
      <c r="D299" s="13"/>
      <c r="E299" s="13"/>
      <c r="F299" s="13"/>
      <c r="G299" s="13"/>
      <c r="H299" s="13"/>
      <c r="I299" s="13"/>
      <c r="J299" s="13"/>
      <c r="K299" s="13"/>
      <c r="L299" s="13"/>
      <c r="M299" s="13"/>
      <c r="N299" s="13"/>
      <c r="O299" s="13"/>
      <c r="P299" s="13"/>
      <c r="Q299" s="13"/>
      <c r="R299" s="13"/>
      <c r="S299" s="13"/>
      <c r="T299" s="13"/>
      <c r="U299" s="13"/>
      <c r="V299" s="13"/>
      <c r="W299" s="13"/>
    </row>
    <row r="300" ht="15.75" customHeight="1" spans="1:23">
      <c r="A300" s="13"/>
      <c r="B300" s="13"/>
      <c r="C300" s="13"/>
      <c r="D300" s="13"/>
      <c r="E300" s="13"/>
      <c r="F300" s="13"/>
      <c r="G300" s="13"/>
      <c r="H300" s="13"/>
      <c r="I300" s="13"/>
      <c r="J300" s="13"/>
      <c r="K300" s="13"/>
      <c r="L300" s="13"/>
      <c r="M300" s="13"/>
      <c r="N300" s="13"/>
      <c r="O300" s="13"/>
      <c r="P300" s="13"/>
      <c r="Q300" s="13"/>
      <c r="R300" s="13"/>
      <c r="S300" s="13"/>
      <c r="T300" s="13"/>
      <c r="U300" s="13"/>
      <c r="V300" s="13"/>
      <c r="W300" s="13"/>
    </row>
    <row r="301" ht="15.75" customHeight="1" spans="1:23">
      <c r="A301" s="13"/>
      <c r="B301" s="13"/>
      <c r="C301" s="13"/>
      <c r="D301" s="13"/>
      <c r="E301" s="13"/>
      <c r="F301" s="13"/>
      <c r="G301" s="13"/>
      <c r="H301" s="13"/>
      <c r="I301" s="13"/>
      <c r="J301" s="13"/>
      <c r="K301" s="13"/>
      <c r="L301" s="13"/>
      <c r="M301" s="13"/>
      <c r="N301" s="13"/>
      <c r="O301" s="13"/>
      <c r="P301" s="13"/>
      <c r="Q301" s="13"/>
      <c r="R301" s="13"/>
      <c r="S301" s="13"/>
      <c r="T301" s="13"/>
      <c r="U301" s="13"/>
      <c r="V301" s="13"/>
      <c r="W301" s="13"/>
    </row>
    <row r="302" ht="15.75" customHeight="1" spans="1:23">
      <c r="A302" s="13"/>
      <c r="B302" s="13"/>
      <c r="C302" s="13"/>
      <c r="D302" s="13"/>
      <c r="E302" s="13"/>
      <c r="F302" s="13"/>
      <c r="G302" s="13"/>
      <c r="H302" s="13"/>
      <c r="I302" s="13"/>
      <c r="J302" s="13"/>
      <c r="K302" s="13"/>
      <c r="L302" s="13"/>
      <c r="M302" s="13"/>
      <c r="N302" s="13"/>
      <c r="O302" s="13"/>
      <c r="P302" s="13"/>
      <c r="Q302" s="13"/>
      <c r="R302" s="13"/>
      <c r="S302" s="13"/>
      <c r="T302" s="13"/>
      <c r="U302" s="13"/>
      <c r="V302" s="13"/>
      <c r="W302" s="13"/>
    </row>
    <row r="303" ht="15.75" customHeight="1" spans="1:23">
      <c r="A303" s="13"/>
      <c r="B303" s="13"/>
      <c r="C303" s="13"/>
      <c r="D303" s="13"/>
      <c r="E303" s="13"/>
      <c r="F303" s="13"/>
      <c r="G303" s="13"/>
      <c r="H303" s="13"/>
      <c r="I303" s="13"/>
      <c r="J303" s="13"/>
      <c r="K303" s="13"/>
      <c r="L303" s="13"/>
      <c r="M303" s="13"/>
      <c r="N303" s="13"/>
      <c r="O303" s="13"/>
      <c r="P303" s="13"/>
      <c r="Q303" s="13"/>
      <c r="R303" s="13"/>
      <c r="S303" s="13"/>
      <c r="T303" s="13"/>
      <c r="U303" s="13"/>
      <c r="V303" s="13"/>
      <c r="W303" s="13"/>
    </row>
    <row r="304" ht="15.75" customHeight="1" spans="1:23">
      <c r="A304" s="13"/>
      <c r="B304" s="13"/>
      <c r="C304" s="13"/>
      <c r="D304" s="13"/>
      <c r="E304" s="13"/>
      <c r="F304" s="13"/>
      <c r="G304" s="13"/>
      <c r="H304" s="13"/>
      <c r="I304" s="13"/>
      <c r="J304" s="13"/>
      <c r="K304" s="13"/>
      <c r="L304" s="13"/>
      <c r="M304" s="13"/>
      <c r="N304" s="13"/>
      <c r="O304" s="13"/>
      <c r="P304" s="13"/>
      <c r="Q304" s="13"/>
      <c r="R304" s="13"/>
      <c r="S304" s="13"/>
      <c r="T304" s="13"/>
      <c r="U304" s="13"/>
      <c r="V304" s="13"/>
      <c r="W304" s="13"/>
    </row>
    <row r="305" ht="15.75" customHeight="1" spans="1:23">
      <c r="A305" s="13"/>
      <c r="B305" s="13"/>
      <c r="C305" s="13"/>
      <c r="D305" s="13"/>
      <c r="E305" s="13"/>
      <c r="F305" s="13"/>
      <c r="G305" s="13"/>
      <c r="H305" s="13"/>
      <c r="I305" s="13"/>
      <c r="J305" s="13"/>
      <c r="K305" s="13"/>
      <c r="L305" s="13"/>
      <c r="M305" s="13"/>
      <c r="N305" s="13"/>
      <c r="O305" s="13"/>
      <c r="P305" s="13"/>
      <c r="Q305" s="13"/>
      <c r="R305" s="13"/>
      <c r="S305" s="13"/>
      <c r="T305" s="13"/>
      <c r="U305" s="13"/>
      <c r="V305" s="13"/>
      <c r="W305" s="13"/>
    </row>
    <row r="306" ht="15.75" customHeight="1" spans="1:23">
      <c r="A306" s="13"/>
      <c r="B306" s="13"/>
      <c r="C306" s="13"/>
      <c r="D306" s="13"/>
      <c r="E306" s="13"/>
      <c r="F306" s="13"/>
      <c r="G306" s="13"/>
      <c r="H306" s="13"/>
      <c r="I306" s="13"/>
      <c r="J306" s="13"/>
      <c r="K306" s="13"/>
      <c r="L306" s="13"/>
      <c r="M306" s="13"/>
      <c r="N306" s="13"/>
      <c r="O306" s="13"/>
      <c r="P306" s="13"/>
      <c r="Q306" s="13"/>
      <c r="R306" s="13"/>
      <c r="S306" s="13"/>
      <c r="T306" s="13"/>
      <c r="U306" s="13"/>
      <c r="V306" s="13"/>
      <c r="W306" s="13"/>
    </row>
    <row r="307" ht="15.75" customHeight="1" spans="1:23">
      <c r="A307" s="13"/>
      <c r="B307" s="13"/>
      <c r="C307" s="13"/>
      <c r="D307" s="13"/>
      <c r="E307" s="13"/>
      <c r="F307" s="13"/>
      <c r="G307" s="13"/>
      <c r="H307" s="13"/>
      <c r="I307" s="13"/>
      <c r="J307" s="13"/>
      <c r="K307" s="13"/>
      <c r="L307" s="13"/>
      <c r="M307" s="13"/>
      <c r="N307" s="13"/>
      <c r="O307" s="13"/>
      <c r="P307" s="13"/>
      <c r="Q307" s="13"/>
      <c r="R307" s="13"/>
      <c r="S307" s="13"/>
      <c r="T307" s="13"/>
      <c r="U307" s="13"/>
      <c r="V307" s="13"/>
      <c r="W307" s="13"/>
    </row>
    <row r="308" ht="15.75" customHeight="1" spans="1:23">
      <c r="A308" s="13"/>
      <c r="B308" s="13"/>
      <c r="C308" s="13"/>
      <c r="D308" s="13"/>
      <c r="E308" s="13"/>
      <c r="F308" s="13"/>
      <c r="G308" s="13"/>
      <c r="H308" s="13"/>
      <c r="I308" s="13"/>
      <c r="J308" s="13"/>
      <c r="K308" s="13"/>
      <c r="L308" s="13"/>
      <c r="M308" s="13"/>
      <c r="N308" s="13"/>
      <c r="O308" s="13"/>
      <c r="P308" s="13"/>
      <c r="Q308" s="13"/>
      <c r="R308" s="13"/>
      <c r="S308" s="13"/>
      <c r="T308" s="13"/>
      <c r="U308" s="13"/>
      <c r="V308" s="13"/>
      <c r="W308" s="13"/>
    </row>
    <row r="309" ht="15.75" customHeight="1" spans="1:23">
      <c r="A309" s="13"/>
      <c r="B309" s="13"/>
      <c r="C309" s="13"/>
      <c r="D309" s="13"/>
      <c r="E309" s="13"/>
      <c r="F309" s="13"/>
      <c r="G309" s="13"/>
      <c r="H309" s="13"/>
      <c r="I309" s="13"/>
      <c r="J309" s="13"/>
      <c r="K309" s="13"/>
      <c r="L309" s="13"/>
      <c r="M309" s="13"/>
      <c r="N309" s="13"/>
      <c r="O309" s="13"/>
      <c r="P309" s="13"/>
      <c r="Q309" s="13"/>
      <c r="R309" s="13"/>
      <c r="S309" s="13"/>
      <c r="T309" s="13"/>
      <c r="U309" s="13"/>
      <c r="V309" s="13"/>
      <c r="W309" s="13"/>
    </row>
    <row r="310" ht="15.75" customHeight="1" spans="1:23">
      <c r="A310" s="13"/>
      <c r="B310" s="13"/>
      <c r="C310" s="13"/>
      <c r="D310" s="13"/>
      <c r="E310" s="13"/>
      <c r="F310" s="13"/>
      <c r="G310" s="13"/>
      <c r="H310" s="13"/>
      <c r="I310" s="13"/>
      <c r="J310" s="13"/>
      <c r="K310" s="13"/>
      <c r="L310" s="13"/>
      <c r="M310" s="13"/>
      <c r="N310" s="13"/>
      <c r="O310" s="13"/>
      <c r="P310" s="13"/>
      <c r="Q310" s="13"/>
      <c r="R310" s="13"/>
      <c r="S310" s="13"/>
      <c r="T310" s="13"/>
      <c r="U310" s="13"/>
      <c r="V310" s="13"/>
      <c r="W310" s="13"/>
    </row>
    <row r="311" ht="15.75" customHeight="1" spans="1:23">
      <c r="A311" s="13"/>
      <c r="B311" s="13"/>
      <c r="C311" s="13"/>
      <c r="D311" s="13"/>
      <c r="E311" s="13"/>
      <c r="F311" s="13"/>
      <c r="G311" s="13"/>
      <c r="H311" s="13"/>
      <c r="I311" s="13"/>
      <c r="J311" s="13"/>
      <c r="K311" s="13"/>
      <c r="L311" s="13"/>
      <c r="M311" s="13"/>
      <c r="N311" s="13"/>
      <c r="O311" s="13"/>
      <c r="P311" s="13"/>
      <c r="Q311" s="13"/>
      <c r="R311" s="13"/>
      <c r="S311" s="13"/>
      <c r="T311" s="13"/>
      <c r="U311" s="13"/>
      <c r="V311" s="13"/>
      <c r="W311" s="13"/>
    </row>
    <row r="312" ht="15.75" customHeight="1" spans="1:23">
      <c r="A312" s="13"/>
      <c r="B312" s="13"/>
      <c r="C312" s="13"/>
      <c r="D312" s="13"/>
      <c r="E312" s="13"/>
      <c r="F312" s="13"/>
      <c r="G312" s="13"/>
      <c r="H312" s="13"/>
      <c r="I312" s="13"/>
      <c r="J312" s="13"/>
      <c r="K312" s="13"/>
      <c r="L312" s="13"/>
      <c r="M312" s="13"/>
      <c r="N312" s="13"/>
      <c r="O312" s="13"/>
      <c r="P312" s="13"/>
      <c r="Q312" s="13"/>
      <c r="R312" s="13"/>
      <c r="S312" s="13"/>
      <c r="T312" s="13"/>
      <c r="U312" s="13"/>
      <c r="V312" s="13"/>
      <c r="W312" s="13"/>
    </row>
    <row r="313" ht="15.75" customHeight="1" spans="1:23">
      <c r="A313" s="13"/>
      <c r="B313" s="13"/>
      <c r="C313" s="13"/>
      <c r="D313" s="13"/>
      <c r="E313" s="13"/>
      <c r="F313" s="13"/>
      <c r="G313" s="13"/>
      <c r="H313" s="13"/>
      <c r="I313" s="13"/>
      <c r="J313" s="13"/>
      <c r="K313" s="13"/>
      <c r="L313" s="13"/>
      <c r="M313" s="13"/>
      <c r="N313" s="13"/>
      <c r="O313" s="13"/>
      <c r="P313" s="13"/>
      <c r="Q313" s="13"/>
      <c r="R313" s="13"/>
      <c r="S313" s="13"/>
      <c r="T313" s="13"/>
      <c r="U313" s="13"/>
      <c r="V313" s="13"/>
      <c r="W313" s="13"/>
    </row>
    <row r="314" ht="15.75" customHeight="1" spans="1:23">
      <c r="A314" s="13"/>
      <c r="B314" s="13"/>
      <c r="C314" s="13"/>
      <c r="D314" s="13"/>
      <c r="E314" s="13"/>
      <c r="F314" s="13"/>
      <c r="G314" s="13"/>
      <c r="H314" s="13"/>
      <c r="I314" s="13"/>
      <c r="J314" s="13"/>
      <c r="K314" s="13"/>
      <c r="L314" s="13"/>
      <c r="M314" s="13"/>
      <c r="N314" s="13"/>
      <c r="O314" s="13"/>
      <c r="P314" s="13"/>
      <c r="Q314" s="13"/>
      <c r="R314" s="13"/>
      <c r="S314" s="13"/>
      <c r="T314" s="13"/>
      <c r="U314" s="13"/>
      <c r="V314" s="13"/>
      <c r="W314" s="13"/>
    </row>
    <row r="315" ht="15.75" customHeight="1" spans="1:23">
      <c r="A315" s="13"/>
      <c r="B315" s="13"/>
      <c r="C315" s="13"/>
      <c r="D315" s="13"/>
      <c r="E315" s="13"/>
      <c r="F315" s="13"/>
      <c r="G315" s="13"/>
      <c r="H315" s="13"/>
      <c r="I315" s="13"/>
      <c r="J315" s="13"/>
      <c r="K315" s="13"/>
      <c r="L315" s="13"/>
      <c r="M315" s="13"/>
      <c r="N315" s="13"/>
      <c r="O315" s="13"/>
      <c r="P315" s="13"/>
      <c r="Q315" s="13"/>
      <c r="R315" s="13"/>
      <c r="S315" s="13"/>
      <c r="T315" s="13"/>
      <c r="U315" s="13"/>
      <c r="V315" s="13"/>
      <c r="W315" s="13"/>
    </row>
    <row r="316" ht="15.75" customHeight="1" spans="1:23">
      <c r="A316" s="13"/>
      <c r="B316" s="13"/>
      <c r="C316" s="13"/>
      <c r="D316" s="13"/>
      <c r="E316" s="13"/>
      <c r="F316" s="13"/>
      <c r="G316" s="13"/>
      <c r="H316" s="13"/>
      <c r="I316" s="13"/>
      <c r="J316" s="13"/>
      <c r="K316" s="13"/>
      <c r="L316" s="13"/>
      <c r="M316" s="13"/>
      <c r="N316" s="13"/>
      <c r="O316" s="13"/>
      <c r="P316" s="13"/>
      <c r="Q316" s="13"/>
      <c r="R316" s="13"/>
      <c r="S316" s="13"/>
      <c r="T316" s="13"/>
      <c r="U316" s="13"/>
      <c r="V316" s="13"/>
      <c r="W316" s="13"/>
    </row>
    <row r="317" ht="15.75" customHeight="1" spans="1:23">
      <c r="A317" s="13"/>
      <c r="B317" s="13"/>
      <c r="C317" s="13"/>
      <c r="D317" s="13"/>
      <c r="E317" s="13"/>
      <c r="F317" s="13"/>
      <c r="G317" s="13"/>
      <c r="H317" s="13"/>
      <c r="I317" s="13"/>
      <c r="J317" s="13"/>
      <c r="K317" s="13"/>
      <c r="L317" s="13"/>
      <c r="M317" s="13"/>
      <c r="N317" s="13"/>
      <c r="O317" s="13"/>
      <c r="P317" s="13"/>
      <c r="Q317" s="13"/>
      <c r="R317" s="13"/>
      <c r="S317" s="13"/>
      <c r="T317" s="13"/>
      <c r="U317" s="13"/>
      <c r="V317" s="13"/>
      <c r="W317" s="13"/>
    </row>
    <row r="318" ht="15.75" customHeight="1" spans="1:23">
      <c r="A318" s="13"/>
      <c r="B318" s="13"/>
      <c r="C318" s="13"/>
      <c r="D318" s="13"/>
      <c r="E318" s="13"/>
      <c r="F318" s="13"/>
      <c r="G318" s="13"/>
      <c r="H318" s="13"/>
      <c r="I318" s="13"/>
      <c r="J318" s="13"/>
      <c r="K318" s="13"/>
      <c r="L318" s="13"/>
      <c r="M318" s="13"/>
      <c r="N318" s="13"/>
      <c r="O318" s="13"/>
      <c r="P318" s="13"/>
      <c r="Q318" s="13"/>
      <c r="R318" s="13"/>
      <c r="S318" s="13"/>
      <c r="T318" s="13"/>
      <c r="U318" s="13"/>
      <c r="V318" s="13"/>
      <c r="W318" s="13"/>
    </row>
    <row r="319" ht="15.75" customHeight="1" spans="1:23">
      <c r="A319" s="13"/>
      <c r="B319" s="13"/>
      <c r="C319" s="13"/>
      <c r="D319" s="13"/>
      <c r="E319" s="13"/>
      <c r="F319" s="13"/>
      <c r="G319" s="13"/>
      <c r="H319" s="13"/>
      <c r="I319" s="13"/>
      <c r="J319" s="13"/>
      <c r="K319" s="13"/>
      <c r="L319" s="13"/>
      <c r="M319" s="13"/>
      <c r="N319" s="13"/>
      <c r="O319" s="13"/>
      <c r="P319" s="13"/>
      <c r="Q319" s="13"/>
      <c r="R319" s="13"/>
      <c r="S319" s="13"/>
      <c r="T319" s="13"/>
      <c r="U319" s="13"/>
      <c r="V319" s="13"/>
      <c r="W319" s="13"/>
    </row>
    <row r="320" ht="15.75" customHeight="1" spans="1:23">
      <c r="A320" s="13"/>
      <c r="B320" s="13"/>
      <c r="C320" s="13"/>
      <c r="D320" s="13"/>
      <c r="E320" s="13"/>
      <c r="F320" s="13"/>
      <c r="G320" s="13"/>
      <c r="H320" s="13"/>
      <c r="I320" s="13"/>
      <c r="J320" s="13"/>
      <c r="K320" s="13"/>
      <c r="L320" s="13"/>
      <c r="M320" s="13"/>
      <c r="N320" s="13"/>
      <c r="O320" s="13"/>
      <c r="P320" s="13"/>
      <c r="Q320" s="13"/>
      <c r="R320" s="13"/>
      <c r="S320" s="13"/>
      <c r="T320" s="13"/>
      <c r="U320" s="13"/>
      <c r="V320" s="13"/>
      <c r="W320" s="13"/>
    </row>
    <row r="321" ht="15.75" customHeight="1" spans="1:23">
      <c r="A321" s="13"/>
      <c r="B321" s="13"/>
      <c r="C321" s="13"/>
      <c r="D321" s="13"/>
      <c r="E321" s="13"/>
      <c r="F321" s="13"/>
      <c r="G321" s="13"/>
      <c r="H321" s="13"/>
      <c r="I321" s="13"/>
      <c r="J321" s="13"/>
      <c r="K321" s="13"/>
      <c r="L321" s="13"/>
      <c r="M321" s="13"/>
      <c r="N321" s="13"/>
      <c r="O321" s="13"/>
      <c r="P321" s="13"/>
      <c r="Q321" s="13"/>
      <c r="R321" s="13"/>
      <c r="S321" s="13"/>
      <c r="T321" s="13"/>
      <c r="U321" s="13"/>
      <c r="V321" s="13"/>
      <c r="W321" s="13"/>
    </row>
    <row r="322" ht="15.75" customHeight="1" spans="1:23">
      <c r="A322" s="13"/>
      <c r="B322" s="13"/>
      <c r="C322" s="13"/>
      <c r="D322" s="13"/>
      <c r="E322" s="13"/>
      <c r="F322" s="13"/>
      <c r="G322" s="13"/>
      <c r="H322" s="13"/>
      <c r="I322" s="13"/>
      <c r="J322" s="13"/>
      <c r="K322" s="13"/>
      <c r="L322" s="13"/>
      <c r="M322" s="13"/>
      <c r="N322" s="13"/>
      <c r="O322" s="13"/>
      <c r="P322" s="13"/>
      <c r="Q322" s="13"/>
      <c r="R322" s="13"/>
      <c r="S322" s="13"/>
      <c r="T322" s="13"/>
      <c r="U322" s="13"/>
      <c r="V322" s="13"/>
      <c r="W322" s="13"/>
    </row>
    <row r="323" ht="15.75" customHeight="1" spans="1:23">
      <c r="A323" s="13"/>
      <c r="B323" s="13"/>
      <c r="C323" s="13"/>
      <c r="D323" s="13"/>
      <c r="E323" s="13"/>
      <c r="F323" s="13"/>
      <c r="G323" s="13"/>
      <c r="H323" s="13"/>
      <c r="I323" s="13"/>
      <c r="J323" s="13"/>
      <c r="K323" s="13"/>
      <c r="L323" s="13"/>
      <c r="M323" s="13"/>
      <c r="N323" s="13"/>
      <c r="O323" s="13"/>
      <c r="P323" s="13"/>
      <c r="Q323" s="13"/>
      <c r="R323" s="13"/>
      <c r="S323" s="13"/>
      <c r="T323" s="13"/>
      <c r="U323" s="13"/>
      <c r="V323" s="13"/>
      <c r="W323" s="13"/>
    </row>
    <row r="324" ht="15.75" customHeight="1" spans="1:23">
      <c r="A324" s="13"/>
      <c r="B324" s="13"/>
      <c r="C324" s="13"/>
      <c r="D324" s="13"/>
      <c r="E324" s="13"/>
      <c r="F324" s="13"/>
      <c r="G324" s="13"/>
      <c r="H324" s="13"/>
      <c r="I324" s="13"/>
      <c r="J324" s="13"/>
      <c r="K324" s="13"/>
      <c r="L324" s="13"/>
      <c r="M324" s="13"/>
      <c r="N324" s="13"/>
      <c r="O324" s="13"/>
      <c r="P324" s="13"/>
      <c r="Q324" s="13"/>
      <c r="R324" s="13"/>
      <c r="S324" s="13"/>
      <c r="T324" s="13"/>
      <c r="U324" s="13"/>
      <c r="V324" s="13"/>
      <c r="W324" s="13"/>
    </row>
    <row r="325" ht="15.75" customHeight="1" spans="1:23">
      <c r="A325" s="13"/>
      <c r="B325" s="13"/>
      <c r="C325" s="13"/>
      <c r="D325" s="13"/>
      <c r="E325" s="13"/>
      <c r="F325" s="13"/>
      <c r="G325" s="13"/>
      <c r="H325" s="13"/>
      <c r="I325" s="13"/>
      <c r="J325" s="13"/>
      <c r="K325" s="13"/>
      <c r="L325" s="13"/>
      <c r="M325" s="13"/>
      <c r="N325" s="13"/>
      <c r="O325" s="13"/>
      <c r="P325" s="13"/>
      <c r="Q325" s="13"/>
      <c r="R325" s="13"/>
      <c r="S325" s="13"/>
      <c r="T325" s="13"/>
      <c r="U325" s="13"/>
      <c r="V325" s="13"/>
      <c r="W325" s="13"/>
    </row>
    <row r="326" ht="15.75" customHeight="1" spans="1:23">
      <c r="A326" s="13"/>
      <c r="B326" s="13"/>
      <c r="C326" s="13"/>
      <c r="D326" s="13"/>
      <c r="E326" s="13"/>
      <c r="F326" s="13"/>
      <c r="G326" s="13"/>
      <c r="H326" s="13"/>
      <c r="I326" s="13"/>
      <c r="J326" s="13"/>
      <c r="K326" s="13"/>
      <c r="L326" s="13"/>
      <c r="M326" s="13"/>
      <c r="N326" s="13"/>
      <c r="O326" s="13"/>
      <c r="P326" s="13"/>
      <c r="Q326" s="13"/>
      <c r="R326" s="13"/>
      <c r="S326" s="13"/>
      <c r="T326" s="13"/>
      <c r="U326" s="13"/>
      <c r="V326" s="13"/>
      <c r="W326" s="13"/>
    </row>
    <row r="327" ht="15.75" customHeight="1" spans="1:23">
      <c r="A327" s="13"/>
      <c r="B327" s="13"/>
      <c r="C327" s="13"/>
      <c r="D327" s="13"/>
      <c r="E327" s="13"/>
      <c r="F327" s="13"/>
      <c r="G327" s="13"/>
      <c r="H327" s="13"/>
      <c r="I327" s="13"/>
      <c r="J327" s="13"/>
      <c r="K327" s="13"/>
      <c r="L327" s="13"/>
      <c r="M327" s="13"/>
      <c r="N327" s="13"/>
      <c r="O327" s="13"/>
      <c r="P327" s="13"/>
      <c r="Q327" s="13"/>
      <c r="R327" s="13"/>
      <c r="S327" s="13"/>
      <c r="T327" s="13"/>
      <c r="U327" s="13"/>
      <c r="V327" s="13"/>
      <c r="W327" s="13"/>
    </row>
    <row r="328" ht="15.75" customHeight="1" spans="1:23">
      <c r="A328" s="13"/>
      <c r="B328" s="13"/>
      <c r="C328" s="13"/>
      <c r="D328" s="13"/>
      <c r="E328" s="13"/>
      <c r="F328" s="13"/>
      <c r="G328" s="13"/>
      <c r="H328" s="13"/>
      <c r="I328" s="13"/>
      <c r="J328" s="13"/>
      <c r="K328" s="13"/>
      <c r="L328" s="13"/>
      <c r="M328" s="13"/>
      <c r="N328" s="13"/>
      <c r="O328" s="13"/>
      <c r="P328" s="13"/>
      <c r="Q328" s="13"/>
      <c r="R328" s="13"/>
      <c r="S328" s="13"/>
      <c r="T328" s="13"/>
      <c r="U328" s="13"/>
      <c r="V328" s="13"/>
      <c r="W328" s="13"/>
    </row>
    <row r="329" ht="15.75" customHeight="1" spans="1:23">
      <c r="A329" s="13"/>
      <c r="B329" s="13"/>
      <c r="C329" s="13"/>
      <c r="D329" s="13"/>
      <c r="E329" s="13"/>
      <c r="F329" s="13"/>
      <c r="G329" s="13"/>
      <c r="H329" s="13"/>
      <c r="I329" s="13"/>
      <c r="J329" s="13"/>
      <c r="K329" s="13"/>
      <c r="L329" s="13"/>
      <c r="M329" s="13"/>
      <c r="N329" s="13"/>
      <c r="O329" s="13"/>
      <c r="P329" s="13"/>
      <c r="Q329" s="13"/>
      <c r="R329" s="13"/>
      <c r="S329" s="13"/>
      <c r="T329" s="13"/>
      <c r="U329" s="13"/>
      <c r="V329" s="13"/>
      <c r="W329" s="13"/>
    </row>
    <row r="330" ht="15.75" customHeight="1" spans="1:23">
      <c r="A330" s="13"/>
      <c r="B330" s="13"/>
      <c r="C330" s="13"/>
      <c r="D330" s="13"/>
      <c r="E330" s="13"/>
      <c r="F330" s="13"/>
      <c r="G330" s="13"/>
      <c r="H330" s="13"/>
      <c r="I330" s="13"/>
      <c r="J330" s="13"/>
      <c r="K330" s="13"/>
      <c r="L330" s="13"/>
      <c r="M330" s="13"/>
      <c r="N330" s="13"/>
      <c r="O330" s="13"/>
      <c r="P330" s="13"/>
      <c r="Q330" s="13"/>
      <c r="R330" s="13"/>
      <c r="S330" s="13"/>
      <c r="T330" s="13"/>
      <c r="U330" s="13"/>
      <c r="V330" s="13"/>
      <c r="W330" s="13"/>
    </row>
    <row r="331" ht="15.75" customHeight="1" spans="1:23">
      <c r="A331" s="13"/>
      <c r="B331" s="13"/>
      <c r="C331" s="13"/>
      <c r="D331" s="13"/>
      <c r="E331" s="13"/>
      <c r="F331" s="13"/>
      <c r="G331" s="13"/>
      <c r="H331" s="13"/>
      <c r="I331" s="13"/>
      <c r="J331" s="13"/>
      <c r="K331" s="13"/>
      <c r="L331" s="13"/>
      <c r="M331" s="13"/>
      <c r="N331" s="13"/>
      <c r="O331" s="13"/>
      <c r="P331" s="13"/>
      <c r="Q331" s="13"/>
      <c r="R331" s="13"/>
      <c r="S331" s="13"/>
      <c r="T331" s="13"/>
      <c r="U331" s="13"/>
      <c r="V331" s="13"/>
      <c r="W331" s="13"/>
    </row>
    <row r="332" ht="15.75" customHeight="1" spans="1:23">
      <c r="A332" s="13"/>
      <c r="B332" s="13"/>
      <c r="C332" s="13"/>
      <c r="D332" s="13"/>
      <c r="E332" s="13"/>
      <c r="F332" s="13"/>
      <c r="G332" s="13"/>
      <c r="H332" s="13"/>
      <c r="I332" s="13"/>
      <c r="J332" s="13"/>
      <c r="K332" s="13"/>
      <c r="L332" s="13"/>
      <c r="M332" s="13"/>
      <c r="N332" s="13"/>
      <c r="O332" s="13"/>
      <c r="P332" s="13"/>
      <c r="Q332" s="13"/>
      <c r="R332" s="13"/>
      <c r="S332" s="13"/>
      <c r="T332" s="13"/>
      <c r="U332" s="13"/>
      <c r="V332" s="13"/>
      <c r="W332" s="13"/>
    </row>
    <row r="333" ht="15.75" customHeight="1" spans="1:23">
      <c r="A333" s="13"/>
      <c r="B333" s="13"/>
      <c r="C333" s="13"/>
      <c r="D333" s="13"/>
      <c r="E333" s="13"/>
      <c r="F333" s="13"/>
      <c r="G333" s="13"/>
      <c r="H333" s="13"/>
      <c r="I333" s="13"/>
      <c r="J333" s="13"/>
      <c r="K333" s="13"/>
      <c r="L333" s="13"/>
      <c r="M333" s="13"/>
      <c r="N333" s="13"/>
      <c r="O333" s="13"/>
      <c r="P333" s="13"/>
      <c r="Q333" s="13"/>
      <c r="R333" s="13"/>
      <c r="S333" s="13"/>
      <c r="T333" s="13"/>
      <c r="U333" s="13"/>
      <c r="V333" s="13"/>
      <c r="W333" s="13"/>
    </row>
    <row r="334" ht="15.75" customHeight="1" spans="1:23">
      <c r="A334" s="13"/>
      <c r="B334" s="13"/>
      <c r="C334" s="13"/>
      <c r="D334" s="13"/>
      <c r="E334" s="13"/>
      <c r="F334" s="13"/>
      <c r="G334" s="13"/>
      <c r="H334" s="13"/>
      <c r="I334" s="13"/>
      <c r="J334" s="13"/>
      <c r="K334" s="13"/>
      <c r="L334" s="13"/>
      <c r="M334" s="13"/>
      <c r="N334" s="13"/>
      <c r="O334" s="13"/>
      <c r="P334" s="13"/>
      <c r="Q334" s="13"/>
      <c r="R334" s="13"/>
      <c r="S334" s="13"/>
      <c r="T334" s="13"/>
      <c r="U334" s="13"/>
      <c r="V334" s="13"/>
      <c r="W334" s="13"/>
    </row>
    <row r="335" ht="15.75" customHeight="1" spans="1:23">
      <c r="A335" s="13"/>
      <c r="B335" s="13"/>
      <c r="C335" s="13"/>
      <c r="D335" s="13"/>
      <c r="E335" s="13"/>
      <c r="F335" s="13"/>
      <c r="G335" s="13"/>
      <c r="H335" s="13"/>
      <c r="I335" s="13"/>
      <c r="J335" s="13"/>
      <c r="K335" s="13"/>
      <c r="L335" s="13"/>
      <c r="M335" s="13"/>
      <c r="N335" s="13"/>
      <c r="O335" s="13"/>
      <c r="P335" s="13"/>
      <c r="Q335" s="13"/>
      <c r="R335" s="13"/>
      <c r="S335" s="13"/>
      <c r="T335" s="13"/>
      <c r="U335" s="13"/>
      <c r="V335" s="13"/>
      <c r="W335" s="13"/>
    </row>
    <row r="336" ht="15.75" customHeight="1" spans="1:23">
      <c r="A336" s="13"/>
      <c r="B336" s="13"/>
      <c r="C336" s="13"/>
      <c r="D336" s="13"/>
      <c r="E336" s="13"/>
      <c r="F336" s="13"/>
      <c r="G336" s="13"/>
      <c r="H336" s="13"/>
      <c r="I336" s="13"/>
      <c r="J336" s="13"/>
      <c r="K336" s="13"/>
      <c r="L336" s="13"/>
      <c r="M336" s="13"/>
      <c r="N336" s="13"/>
      <c r="O336" s="13"/>
      <c r="P336" s="13"/>
      <c r="Q336" s="13"/>
      <c r="R336" s="13"/>
      <c r="S336" s="13"/>
      <c r="T336" s="13"/>
      <c r="U336" s="13"/>
      <c r="V336" s="13"/>
      <c r="W336" s="13"/>
    </row>
    <row r="337" ht="15.75" customHeight="1" spans="1:23">
      <c r="A337" s="13"/>
      <c r="B337" s="13"/>
      <c r="C337" s="13"/>
      <c r="D337" s="13"/>
      <c r="E337" s="13"/>
      <c r="F337" s="13"/>
      <c r="G337" s="13"/>
      <c r="H337" s="13"/>
      <c r="I337" s="13"/>
      <c r="J337" s="13"/>
      <c r="K337" s="13"/>
      <c r="L337" s="13"/>
      <c r="M337" s="13"/>
      <c r="N337" s="13"/>
      <c r="O337" s="13"/>
      <c r="P337" s="13"/>
      <c r="Q337" s="13"/>
      <c r="R337" s="13"/>
      <c r="S337" s="13"/>
      <c r="T337" s="13"/>
      <c r="U337" s="13"/>
      <c r="V337" s="13"/>
      <c r="W337" s="13"/>
    </row>
    <row r="338" ht="15.75" customHeight="1" spans="1:23">
      <c r="A338" s="13"/>
      <c r="B338" s="13"/>
      <c r="C338" s="13"/>
      <c r="D338" s="13"/>
      <c r="E338" s="13"/>
      <c r="F338" s="13"/>
      <c r="G338" s="13"/>
      <c r="H338" s="13"/>
      <c r="I338" s="13"/>
      <c r="J338" s="13"/>
      <c r="K338" s="13"/>
      <c r="L338" s="13"/>
      <c r="M338" s="13"/>
      <c r="N338" s="13"/>
      <c r="O338" s="13"/>
      <c r="P338" s="13"/>
      <c r="Q338" s="13"/>
      <c r="R338" s="13"/>
      <c r="S338" s="13"/>
      <c r="T338" s="13"/>
      <c r="U338" s="13"/>
      <c r="V338" s="13"/>
      <c r="W338" s="13"/>
    </row>
    <row r="339" ht="15.75" customHeight="1" spans="1:23">
      <c r="A339" s="13"/>
      <c r="B339" s="13"/>
      <c r="C339" s="13"/>
      <c r="D339" s="13"/>
      <c r="E339" s="13"/>
      <c r="F339" s="13"/>
      <c r="G339" s="13"/>
      <c r="H339" s="13"/>
      <c r="I339" s="13"/>
      <c r="J339" s="13"/>
      <c r="K339" s="13"/>
      <c r="L339" s="13"/>
      <c r="M339" s="13"/>
      <c r="N339" s="13"/>
      <c r="O339" s="13"/>
      <c r="P339" s="13"/>
      <c r="Q339" s="13"/>
      <c r="R339" s="13"/>
      <c r="S339" s="13"/>
      <c r="T339" s="13"/>
      <c r="U339" s="13"/>
      <c r="V339" s="13"/>
      <c r="W339" s="13"/>
    </row>
    <row r="340" ht="15.75" customHeight="1" spans="1:23">
      <c r="A340" s="13"/>
      <c r="B340" s="13"/>
      <c r="C340" s="13"/>
      <c r="D340" s="13"/>
      <c r="E340" s="13"/>
      <c r="F340" s="13"/>
      <c r="G340" s="13"/>
      <c r="H340" s="13"/>
      <c r="I340" s="13"/>
      <c r="J340" s="13"/>
      <c r="K340" s="13"/>
      <c r="L340" s="13"/>
      <c r="M340" s="13"/>
      <c r="N340" s="13"/>
      <c r="O340" s="13"/>
      <c r="P340" s="13"/>
      <c r="Q340" s="13"/>
      <c r="R340" s="13"/>
      <c r="S340" s="13"/>
      <c r="T340" s="13"/>
      <c r="U340" s="13"/>
      <c r="V340" s="13"/>
      <c r="W340" s="13"/>
    </row>
    <row r="341" ht="15.75" customHeight="1" spans="1:23">
      <c r="A341" s="13"/>
      <c r="B341" s="13"/>
      <c r="C341" s="13"/>
      <c r="D341" s="13"/>
      <c r="E341" s="13"/>
      <c r="F341" s="13"/>
      <c r="G341" s="13"/>
      <c r="H341" s="13"/>
      <c r="I341" s="13"/>
      <c r="J341" s="13"/>
      <c r="K341" s="13"/>
      <c r="L341" s="13"/>
      <c r="M341" s="13"/>
      <c r="N341" s="13"/>
      <c r="O341" s="13"/>
      <c r="P341" s="13"/>
      <c r="Q341" s="13"/>
      <c r="R341" s="13"/>
      <c r="S341" s="13"/>
      <c r="T341" s="13"/>
      <c r="U341" s="13"/>
      <c r="V341" s="13"/>
      <c r="W341" s="13"/>
    </row>
    <row r="342" ht="15.75" customHeight="1" spans="1:23">
      <c r="A342" s="13"/>
      <c r="B342" s="13"/>
      <c r="C342" s="13"/>
      <c r="D342" s="13"/>
      <c r="E342" s="13"/>
      <c r="F342" s="13"/>
      <c r="G342" s="13"/>
      <c r="H342" s="13"/>
      <c r="I342" s="13"/>
      <c r="J342" s="13"/>
      <c r="K342" s="13"/>
      <c r="L342" s="13"/>
      <c r="M342" s="13"/>
      <c r="N342" s="13"/>
      <c r="O342" s="13"/>
      <c r="P342" s="13"/>
      <c r="Q342" s="13"/>
      <c r="R342" s="13"/>
      <c r="S342" s="13"/>
      <c r="T342" s="13"/>
      <c r="U342" s="13"/>
      <c r="V342" s="13"/>
      <c r="W342" s="13"/>
    </row>
    <row r="343" ht="15.75" customHeight="1" spans="1:23">
      <c r="A343" s="13"/>
      <c r="B343" s="13"/>
      <c r="C343" s="13"/>
      <c r="D343" s="13"/>
      <c r="E343" s="13"/>
      <c r="F343" s="13"/>
      <c r="G343" s="13"/>
      <c r="H343" s="13"/>
      <c r="I343" s="13"/>
      <c r="J343" s="13"/>
      <c r="K343" s="13"/>
      <c r="L343" s="13"/>
      <c r="M343" s="13"/>
      <c r="N343" s="13"/>
      <c r="O343" s="13"/>
      <c r="P343" s="13"/>
      <c r="Q343" s="13"/>
      <c r="R343" s="13"/>
      <c r="S343" s="13"/>
      <c r="T343" s="13"/>
      <c r="U343" s="13"/>
      <c r="V343" s="13"/>
      <c r="W343" s="13"/>
    </row>
    <row r="344" ht="15.75" customHeight="1" spans="1:23">
      <c r="A344" s="13"/>
      <c r="B344" s="13"/>
      <c r="C344" s="13"/>
      <c r="D344" s="13"/>
      <c r="E344" s="13"/>
      <c r="F344" s="13"/>
      <c r="G344" s="13"/>
      <c r="H344" s="13"/>
      <c r="I344" s="13"/>
      <c r="J344" s="13"/>
      <c r="K344" s="13"/>
      <c r="L344" s="13"/>
      <c r="M344" s="13"/>
      <c r="N344" s="13"/>
      <c r="O344" s="13"/>
      <c r="P344" s="13"/>
      <c r="Q344" s="13"/>
      <c r="R344" s="13"/>
      <c r="S344" s="13"/>
      <c r="T344" s="13"/>
      <c r="U344" s="13"/>
      <c r="V344" s="13"/>
      <c r="W344" s="13"/>
    </row>
    <row r="345" ht="15.75" customHeight="1" spans="1:23">
      <c r="A345" s="13"/>
      <c r="B345" s="13"/>
      <c r="C345" s="13"/>
      <c r="D345" s="13"/>
      <c r="E345" s="13"/>
      <c r="F345" s="13"/>
      <c r="G345" s="13"/>
      <c r="H345" s="13"/>
      <c r="I345" s="13"/>
      <c r="J345" s="13"/>
      <c r="K345" s="13"/>
      <c r="L345" s="13"/>
      <c r="M345" s="13"/>
      <c r="N345" s="13"/>
      <c r="O345" s="13"/>
      <c r="P345" s="13"/>
      <c r="Q345" s="13"/>
      <c r="R345" s="13"/>
      <c r="S345" s="13"/>
      <c r="T345" s="13"/>
      <c r="U345" s="13"/>
      <c r="V345" s="13"/>
      <c r="W345" s="13"/>
    </row>
    <row r="346" ht="15.75" customHeight="1" spans="1:23">
      <c r="A346" s="13"/>
      <c r="B346" s="13"/>
      <c r="C346" s="13"/>
      <c r="D346" s="13"/>
      <c r="E346" s="13"/>
      <c r="F346" s="13"/>
      <c r="G346" s="13"/>
      <c r="H346" s="13"/>
      <c r="I346" s="13"/>
      <c r="J346" s="13"/>
      <c r="K346" s="13"/>
      <c r="L346" s="13"/>
      <c r="M346" s="13"/>
      <c r="N346" s="13"/>
      <c r="O346" s="13"/>
      <c r="P346" s="13"/>
      <c r="Q346" s="13"/>
      <c r="R346" s="13"/>
      <c r="S346" s="13"/>
      <c r="T346" s="13"/>
      <c r="U346" s="13"/>
      <c r="V346" s="13"/>
      <c r="W346" s="13"/>
    </row>
    <row r="347" ht="15.75" customHeight="1" spans="1:23">
      <c r="A347" s="13"/>
      <c r="B347" s="13"/>
      <c r="C347" s="13"/>
      <c r="D347" s="13"/>
      <c r="E347" s="13"/>
      <c r="F347" s="13"/>
      <c r="G347" s="13"/>
      <c r="H347" s="13"/>
      <c r="I347" s="13"/>
      <c r="J347" s="13"/>
      <c r="K347" s="13"/>
      <c r="L347" s="13"/>
      <c r="M347" s="13"/>
      <c r="N347" s="13"/>
      <c r="O347" s="13"/>
      <c r="P347" s="13"/>
      <c r="Q347" s="13"/>
      <c r="R347" s="13"/>
      <c r="S347" s="13"/>
      <c r="T347" s="13"/>
      <c r="U347" s="13"/>
      <c r="V347" s="13"/>
      <c r="W347" s="13"/>
    </row>
    <row r="348" ht="15.75" customHeight="1" spans="1:23">
      <c r="A348" s="13"/>
      <c r="B348" s="13"/>
      <c r="C348" s="13"/>
      <c r="D348" s="13"/>
      <c r="E348" s="13"/>
      <c r="F348" s="13"/>
      <c r="G348" s="13"/>
      <c r="H348" s="13"/>
      <c r="I348" s="13"/>
      <c r="J348" s="13"/>
      <c r="K348" s="13"/>
      <c r="L348" s="13"/>
      <c r="M348" s="13"/>
      <c r="N348" s="13"/>
      <c r="O348" s="13"/>
      <c r="P348" s="13"/>
      <c r="Q348" s="13"/>
      <c r="R348" s="13"/>
      <c r="S348" s="13"/>
      <c r="T348" s="13"/>
      <c r="U348" s="13"/>
      <c r="V348" s="13"/>
      <c r="W348" s="13"/>
    </row>
    <row r="349" ht="15.75" customHeight="1" spans="1:23">
      <c r="A349" s="13"/>
      <c r="B349" s="13"/>
      <c r="C349" s="13"/>
      <c r="D349" s="13"/>
      <c r="E349" s="13"/>
      <c r="F349" s="13"/>
      <c r="G349" s="13"/>
      <c r="H349" s="13"/>
      <c r="I349" s="13"/>
      <c r="J349" s="13"/>
      <c r="K349" s="13"/>
      <c r="L349" s="13"/>
      <c r="M349" s="13"/>
      <c r="N349" s="13"/>
      <c r="O349" s="13"/>
      <c r="P349" s="13"/>
      <c r="Q349" s="13"/>
      <c r="R349" s="13"/>
      <c r="S349" s="13"/>
      <c r="T349" s="13"/>
      <c r="U349" s="13"/>
      <c r="V349" s="13"/>
      <c r="W349" s="13"/>
    </row>
    <row r="350" ht="15.75" customHeight="1" spans="1:23">
      <c r="A350" s="13"/>
      <c r="B350" s="13"/>
      <c r="C350" s="13"/>
      <c r="D350" s="13"/>
      <c r="E350" s="13"/>
      <c r="F350" s="13"/>
      <c r="G350" s="13"/>
      <c r="H350" s="13"/>
      <c r="I350" s="13"/>
      <c r="J350" s="13"/>
      <c r="K350" s="13"/>
      <c r="L350" s="13"/>
      <c r="M350" s="13"/>
      <c r="N350" s="13"/>
      <c r="O350" s="13"/>
      <c r="P350" s="13"/>
      <c r="Q350" s="13"/>
      <c r="R350" s="13"/>
      <c r="S350" s="13"/>
      <c r="T350" s="13"/>
      <c r="U350" s="13"/>
      <c r="V350" s="13"/>
      <c r="W350" s="13"/>
    </row>
    <row r="351" ht="15.75" customHeight="1" spans="1:23">
      <c r="A351" s="13"/>
      <c r="B351" s="13"/>
      <c r="C351" s="13"/>
      <c r="D351" s="13"/>
      <c r="E351" s="13"/>
      <c r="F351" s="13"/>
      <c r="G351" s="13"/>
      <c r="H351" s="13"/>
      <c r="I351" s="13"/>
      <c r="J351" s="13"/>
      <c r="K351" s="13"/>
      <c r="L351" s="13"/>
      <c r="M351" s="13"/>
      <c r="N351" s="13"/>
      <c r="O351" s="13"/>
      <c r="P351" s="13"/>
      <c r="Q351" s="13"/>
      <c r="R351" s="13"/>
      <c r="S351" s="13"/>
      <c r="T351" s="13"/>
      <c r="U351" s="13"/>
      <c r="V351" s="13"/>
      <c r="W351" s="13"/>
    </row>
    <row r="352" ht="15.75" customHeight="1" spans="1:23">
      <c r="A352" s="13"/>
      <c r="B352" s="13"/>
      <c r="C352" s="13"/>
      <c r="D352" s="13"/>
      <c r="E352" s="13"/>
      <c r="F352" s="13"/>
      <c r="G352" s="13"/>
      <c r="H352" s="13"/>
      <c r="I352" s="13"/>
      <c r="J352" s="13"/>
      <c r="K352" s="13"/>
      <c r="L352" s="13"/>
      <c r="M352" s="13"/>
      <c r="N352" s="13"/>
      <c r="O352" s="13"/>
      <c r="P352" s="13"/>
      <c r="Q352" s="13"/>
      <c r="R352" s="13"/>
      <c r="S352" s="13"/>
      <c r="T352" s="13"/>
      <c r="U352" s="13"/>
      <c r="V352" s="13"/>
      <c r="W352" s="13"/>
    </row>
    <row r="353" ht="15.75" customHeight="1" spans="1:23">
      <c r="A353" s="13"/>
      <c r="B353" s="13"/>
      <c r="C353" s="13"/>
      <c r="D353" s="13"/>
      <c r="E353" s="13"/>
      <c r="F353" s="13"/>
      <c r="G353" s="13"/>
      <c r="H353" s="13"/>
      <c r="I353" s="13"/>
      <c r="J353" s="13"/>
      <c r="K353" s="13"/>
      <c r="L353" s="13"/>
      <c r="M353" s="13"/>
      <c r="N353" s="13"/>
      <c r="O353" s="13"/>
      <c r="P353" s="13"/>
      <c r="Q353" s="13"/>
      <c r="R353" s="13"/>
      <c r="S353" s="13"/>
      <c r="T353" s="13"/>
      <c r="U353" s="13"/>
      <c r="V353" s="13"/>
      <c r="W353" s="13"/>
    </row>
    <row r="354" ht="15.75" customHeight="1" spans="1:23">
      <c r="A354" s="13"/>
      <c r="B354" s="13"/>
      <c r="C354" s="13"/>
      <c r="D354" s="13"/>
      <c r="E354" s="13"/>
      <c r="F354" s="13"/>
      <c r="G354" s="13"/>
      <c r="H354" s="13"/>
      <c r="I354" s="13"/>
      <c r="J354" s="13"/>
      <c r="K354" s="13"/>
      <c r="L354" s="13"/>
      <c r="M354" s="13"/>
      <c r="N354" s="13"/>
      <c r="O354" s="13"/>
      <c r="P354" s="13"/>
      <c r="Q354" s="13"/>
      <c r="R354" s="13"/>
      <c r="S354" s="13"/>
      <c r="T354" s="13"/>
      <c r="U354" s="13"/>
      <c r="V354" s="13"/>
      <c r="W354" s="13"/>
    </row>
    <row r="355" ht="15.75" customHeight="1" spans="1:23">
      <c r="A355" s="13"/>
      <c r="B355" s="13"/>
      <c r="C355" s="13"/>
      <c r="D355" s="13"/>
      <c r="E355" s="13"/>
      <c r="F355" s="13"/>
      <c r="G355" s="13"/>
      <c r="H355" s="13"/>
      <c r="I355" s="13"/>
      <c r="J355" s="13"/>
      <c r="K355" s="13"/>
      <c r="L355" s="13"/>
      <c r="M355" s="13"/>
      <c r="N355" s="13"/>
      <c r="O355" s="13"/>
      <c r="P355" s="13"/>
      <c r="Q355" s="13"/>
      <c r="R355" s="13"/>
      <c r="S355" s="13"/>
      <c r="T355" s="13"/>
      <c r="U355" s="13"/>
      <c r="V355" s="13"/>
      <c r="W355" s="13"/>
    </row>
    <row r="356" ht="15.75" customHeight="1" spans="1:23">
      <c r="A356" s="13"/>
      <c r="B356" s="13"/>
      <c r="C356" s="13"/>
      <c r="D356" s="13"/>
      <c r="E356" s="13"/>
      <c r="F356" s="13"/>
      <c r="G356" s="13"/>
      <c r="H356" s="13"/>
      <c r="I356" s="13"/>
      <c r="J356" s="13"/>
      <c r="K356" s="13"/>
      <c r="L356" s="13"/>
      <c r="M356" s="13"/>
      <c r="N356" s="13"/>
      <c r="O356" s="13"/>
      <c r="P356" s="13"/>
      <c r="Q356" s="13"/>
      <c r="R356" s="13"/>
      <c r="S356" s="13"/>
      <c r="T356" s="13"/>
      <c r="U356" s="13"/>
      <c r="V356" s="13"/>
      <c r="W356" s="13"/>
    </row>
    <row r="357" ht="15.75" customHeight="1" spans="1:23">
      <c r="A357" s="13"/>
      <c r="B357" s="13"/>
      <c r="C357" s="13"/>
      <c r="D357" s="13"/>
      <c r="E357" s="13"/>
      <c r="F357" s="13"/>
      <c r="G357" s="13"/>
      <c r="H357" s="13"/>
      <c r="I357" s="13"/>
      <c r="J357" s="13"/>
      <c r="K357" s="13"/>
      <c r="L357" s="13"/>
      <c r="M357" s="13"/>
      <c r="N357" s="13"/>
      <c r="O357" s="13"/>
      <c r="P357" s="13"/>
      <c r="Q357" s="13"/>
      <c r="R357" s="13"/>
      <c r="S357" s="13"/>
      <c r="T357" s="13"/>
      <c r="U357" s="13"/>
      <c r="V357" s="13"/>
      <c r="W357" s="13"/>
    </row>
    <row r="358" ht="15.75" customHeight="1" spans="1:23">
      <c r="A358" s="13"/>
      <c r="B358" s="13"/>
      <c r="C358" s="13"/>
      <c r="D358" s="13"/>
      <c r="E358" s="13"/>
      <c r="F358" s="13"/>
      <c r="G358" s="13"/>
      <c r="H358" s="13"/>
      <c r="I358" s="13"/>
      <c r="J358" s="13"/>
      <c r="K358" s="13"/>
      <c r="L358" s="13"/>
      <c r="M358" s="13"/>
      <c r="N358" s="13"/>
      <c r="O358" s="13"/>
      <c r="P358" s="13"/>
      <c r="Q358" s="13"/>
      <c r="R358" s="13"/>
      <c r="S358" s="13"/>
      <c r="T358" s="13"/>
      <c r="U358" s="13"/>
      <c r="V358" s="13"/>
      <c r="W358" s="13"/>
    </row>
    <row r="359" ht="15.75" customHeight="1" spans="1:23">
      <c r="A359" s="13"/>
      <c r="B359" s="13"/>
      <c r="C359" s="13"/>
      <c r="D359" s="13"/>
      <c r="E359" s="13"/>
      <c r="F359" s="13"/>
      <c r="G359" s="13"/>
      <c r="H359" s="13"/>
      <c r="I359" s="13"/>
      <c r="J359" s="13"/>
      <c r="K359" s="13"/>
      <c r="L359" s="13"/>
      <c r="M359" s="13"/>
      <c r="N359" s="13"/>
      <c r="O359" s="13"/>
      <c r="P359" s="13"/>
      <c r="Q359" s="13"/>
      <c r="R359" s="13"/>
      <c r="S359" s="13"/>
      <c r="T359" s="13"/>
      <c r="U359" s="13"/>
      <c r="V359" s="13"/>
      <c r="W359" s="13"/>
    </row>
    <row r="360" ht="15.75" customHeight="1" spans="1:23">
      <c r="A360" s="13"/>
      <c r="B360" s="13"/>
      <c r="C360" s="13"/>
      <c r="D360" s="13"/>
      <c r="E360" s="13"/>
      <c r="F360" s="13"/>
      <c r="G360" s="13"/>
      <c r="H360" s="13"/>
      <c r="I360" s="13"/>
      <c r="J360" s="13"/>
      <c r="K360" s="13"/>
      <c r="L360" s="13"/>
      <c r="M360" s="13"/>
      <c r="N360" s="13"/>
      <c r="O360" s="13"/>
      <c r="P360" s="13"/>
      <c r="Q360" s="13"/>
      <c r="R360" s="13"/>
      <c r="S360" s="13"/>
      <c r="T360" s="13"/>
      <c r="U360" s="13"/>
      <c r="V360" s="13"/>
      <c r="W360" s="13"/>
    </row>
    <row r="361" ht="15.75" customHeight="1" spans="1:23">
      <c r="A361" s="13"/>
      <c r="B361" s="13"/>
      <c r="C361" s="13"/>
      <c r="D361" s="13"/>
      <c r="E361" s="13"/>
      <c r="F361" s="13"/>
      <c r="G361" s="13"/>
      <c r="H361" s="13"/>
      <c r="I361" s="13"/>
      <c r="J361" s="13"/>
      <c r="K361" s="13"/>
      <c r="L361" s="13"/>
      <c r="M361" s="13"/>
      <c r="N361" s="13"/>
      <c r="O361" s="13"/>
      <c r="P361" s="13"/>
      <c r="Q361" s="13"/>
      <c r="R361" s="13"/>
      <c r="S361" s="13"/>
      <c r="T361" s="13"/>
      <c r="U361" s="13"/>
      <c r="V361" s="13"/>
      <c r="W361" s="13"/>
    </row>
    <row r="362" ht="15.75" customHeight="1" spans="1:23">
      <c r="A362" s="13"/>
      <c r="B362" s="13"/>
      <c r="C362" s="13"/>
      <c r="D362" s="13"/>
      <c r="E362" s="13"/>
      <c r="F362" s="13"/>
      <c r="G362" s="13"/>
      <c r="H362" s="13"/>
      <c r="I362" s="13"/>
      <c r="J362" s="13"/>
      <c r="K362" s="13"/>
      <c r="L362" s="13"/>
      <c r="M362" s="13"/>
      <c r="N362" s="13"/>
      <c r="O362" s="13"/>
      <c r="P362" s="13"/>
      <c r="Q362" s="13"/>
      <c r="R362" s="13"/>
      <c r="S362" s="13"/>
      <c r="T362" s="13"/>
      <c r="U362" s="13"/>
      <c r="V362" s="13"/>
      <c r="W362" s="13"/>
    </row>
    <row r="363" ht="15.75" customHeight="1" spans="1:23">
      <c r="A363" s="13"/>
      <c r="B363" s="13"/>
      <c r="C363" s="13"/>
      <c r="D363" s="13"/>
      <c r="E363" s="13"/>
      <c r="F363" s="13"/>
      <c r="G363" s="13"/>
      <c r="H363" s="13"/>
      <c r="I363" s="13"/>
      <c r="J363" s="13"/>
      <c r="K363" s="13"/>
      <c r="L363" s="13"/>
      <c r="M363" s="13"/>
      <c r="N363" s="13"/>
      <c r="O363" s="13"/>
      <c r="P363" s="13"/>
      <c r="Q363" s="13"/>
      <c r="R363" s="13"/>
      <c r="S363" s="13"/>
      <c r="T363" s="13"/>
      <c r="U363" s="13"/>
      <c r="V363" s="13"/>
      <c r="W363" s="13"/>
    </row>
    <row r="364" ht="15.75" customHeight="1" spans="1:23">
      <c r="A364" s="13"/>
      <c r="B364" s="13"/>
      <c r="C364" s="13"/>
      <c r="D364" s="13"/>
      <c r="E364" s="13"/>
      <c r="F364" s="13"/>
      <c r="G364" s="13"/>
      <c r="H364" s="13"/>
      <c r="I364" s="13"/>
      <c r="J364" s="13"/>
      <c r="K364" s="13"/>
      <c r="L364" s="13"/>
      <c r="M364" s="13"/>
      <c r="N364" s="13"/>
      <c r="O364" s="13"/>
      <c r="P364" s="13"/>
      <c r="Q364" s="13"/>
      <c r="R364" s="13"/>
      <c r="S364" s="13"/>
      <c r="T364" s="13"/>
      <c r="U364" s="13"/>
      <c r="V364" s="13"/>
      <c r="W364" s="13"/>
    </row>
    <row r="365" ht="15.75" customHeight="1" spans="1:23">
      <c r="A365" s="13"/>
      <c r="B365" s="13"/>
      <c r="C365" s="13"/>
      <c r="D365" s="13"/>
      <c r="E365" s="13"/>
      <c r="F365" s="13"/>
      <c r="G365" s="13"/>
      <c r="H365" s="13"/>
      <c r="I365" s="13"/>
      <c r="J365" s="13"/>
      <c r="K365" s="13"/>
      <c r="L365" s="13"/>
      <c r="M365" s="13"/>
      <c r="N365" s="13"/>
      <c r="O365" s="13"/>
      <c r="P365" s="13"/>
      <c r="Q365" s="13"/>
      <c r="R365" s="13"/>
      <c r="S365" s="13"/>
      <c r="T365" s="13"/>
      <c r="U365" s="13"/>
      <c r="V365" s="13"/>
      <c r="W365" s="13"/>
    </row>
    <row r="366" ht="15.75" customHeight="1" spans="1:23">
      <c r="A366" s="13"/>
      <c r="B366" s="13"/>
      <c r="C366" s="13"/>
      <c r="D366" s="13"/>
      <c r="E366" s="13"/>
      <c r="F366" s="13"/>
      <c r="G366" s="13"/>
      <c r="H366" s="13"/>
      <c r="I366" s="13"/>
      <c r="J366" s="13"/>
      <c r="K366" s="13"/>
      <c r="L366" s="13"/>
      <c r="M366" s="13"/>
      <c r="N366" s="13"/>
      <c r="O366" s="13"/>
      <c r="P366" s="13"/>
      <c r="Q366" s="13"/>
      <c r="R366" s="13"/>
      <c r="S366" s="13"/>
      <c r="T366" s="13"/>
      <c r="U366" s="13"/>
      <c r="V366" s="13"/>
      <c r="W366" s="13"/>
    </row>
    <row r="367" ht="15.75" customHeight="1" spans="1:23">
      <c r="A367" s="13"/>
      <c r="B367" s="13"/>
      <c r="C367" s="13"/>
      <c r="D367" s="13"/>
      <c r="E367" s="13"/>
      <c r="F367" s="13"/>
      <c r="G367" s="13"/>
      <c r="H367" s="13"/>
      <c r="I367" s="13"/>
      <c r="J367" s="13"/>
      <c r="K367" s="13"/>
      <c r="L367" s="13"/>
      <c r="M367" s="13"/>
      <c r="N367" s="13"/>
      <c r="O367" s="13"/>
      <c r="P367" s="13"/>
      <c r="Q367" s="13"/>
      <c r="R367" s="13"/>
      <c r="S367" s="13"/>
      <c r="T367" s="13"/>
      <c r="U367" s="13"/>
      <c r="V367" s="13"/>
      <c r="W367" s="13"/>
    </row>
    <row r="368" ht="15.75" customHeight="1" spans="1:23">
      <c r="A368" s="13"/>
      <c r="B368" s="13"/>
      <c r="C368" s="13"/>
      <c r="D368" s="13"/>
      <c r="E368" s="13"/>
      <c r="F368" s="13"/>
      <c r="G368" s="13"/>
      <c r="H368" s="13"/>
      <c r="I368" s="13"/>
      <c r="J368" s="13"/>
      <c r="K368" s="13"/>
      <c r="L368" s="13"/>
      <c r="M368" s="13"/>
      <c r="N368" s="13"/>
      <c r="O368" s="13"/>
      <c r="P368" s="13"/>
      <c r="Q368" s="13"/>
      <c r="R368" s="13"/>
      <c r="S368" s="13"/>
      <c r="T368" s="13"/>
      <c r="U368" s="13"/>
      <c r="V368" s="13"/>
      <c r="W368" s="13"/>
    </row>
    <row r="369" ht="15.75" customHeight="1" spans="1:23">
      <c r="A369" s="13"/>
      <c r="B369" s="13"/>
      <c r="C369" s="13"/>
      <c r="D369" s="13"/>
      <c r="E369" s="13"/>
      <c r="F369" s="13"/>
      <c r="G369" s="13"/>
      <c r="H369" s="13"/>
      <c r="I369" s="13"/>
      <c r="J369" s="13"/>
      <c r="K369" s="13"/>
      <c r="L369" s="13"/>
      <c r="M369" s="13"/>
      <c r="N369" s="13"/>
      <c r="O369" s="13"/>
      <c r="P369" s="13"/>
      <c r="Q369" s="13"/>
      <c r="R369" s="13"/>
      <c r="S369" s="13"/>
      <c r="T369" s="13"/>
      <c r="U369" s="13"/>
      <c r="V369" s="13"/>
      <c r="W369" s="13"/>
    </row>
    <row r="370" ht="15.75" customHeight="1" spans="1:23">
      <c r="A370" s="13"/>
      <c r="B370" s="13"/>
      <c r="C370" s="13"/>
      <c r="D370" s="13"/>
      <c r="E370" s="13"/>
      <c r="F370" s="13"/>
      <c r="G370" s="13"/>
      <c r="H370" s="13"/>
      <c r="I370" s="13"/>
      <c r="J370" s="13"/>
      <c r="K370" s="13"/>
      <c r="L370" s="13"/>
      <c r="M370" s="13"/>
      <c r="N370" s="13"/>
      <c r="O370" s="13"/>
      <c r="P370" s="13"/>
      <c r="Q370" s="13"/>
      <c r="R370" s="13"/>
      <c r="S370" s="13"/>
      <c r="T370" s="13"/>
      <c r="U370" s="13"/>
      <c r="V370" s="13"/>
      <c r="W370" s="13"/>
    </row>
    <row r="371" ht="15.75" customHeight="1" spans="1:23">
      <c r="A371" s="13"/>
      <c r="B371" s="13"/>
      <c r="C371" s="13"/>
      <c r="D371" s="13"/>
      <c r="E371" s="13"/>
      <c r="F371" s="13"/>
      <c r="G371" s="13"/>
      <c r="H371" s="13"/>
      <c r="I371" s="13"/>
      <c r="J371" s="13"/>
      <c r="K371" s="13"/>
      <c r="L371" s="13"/>
      <c r="M371" s="13"/>
      <c r="N371" s="13"/>
      <c r="O371" s="13"/>
      <c r="P371" s="13"/>
      <c r="Q371" s="13"/>
      <c r="R371" s="13"/>
      <c r="S371" s="13"/>
      <c r="T371" s="13"/>
      <c r="U371" s="13"/>
      <c r="V371" s="13"/>
      <c r="W371" s="13"/>
    </row>
    <row r="372" ht="15.75" customHeight="1" spans="1:23">
      <c r="A372" s="13"/>
      <c r="B372" s="13"/>
      <c r="C372" s="13"/>
      <c r="D372" s="13"/>
      <c r="E372" s="13"/>
      <c r="F372" s="13"/>
      <c r="G372" s="13"/>
      <c r="H372" s="13"/>
      <c r="I372" s="13"/>
      <c r="J372" s="13"/>
      <c r="K372" s="13"/>
      <c r="L372" s="13"/>
      <c r="M372" s="13"/>
      <c r="N372" s="13"/>
      <c r="O372" s="13"/>
      <c r="P372" s="13"/>
      <c r="Q372" s="13"/>
      <c r="R372" s="13"/>
      <c r="S372" s="13"/>
      <c r="T372" s="13"/>
      <c r="U372" s="13"/>
      <c r="V372" s="13"/>
      <c r="W372" s="13"/>
    </row>
    <row r="373" ht="15.75" customHeight="1" spans="1:23">
      <c r="A373" s="13"/>
      <c r="B373" s="13"/>
      <c r="C373" s="13"/>
      <c r="D373" s="13"/>
      <c r="E373" s="13"/>
      <c r="F373" s="13"/>
      <c r="G373" s="13"/>
      <c r="H373" s="13"/>
      <c r="I373" s="13"/>
      <c r="J373" s="13"/>
      <c r="K373" s="13"/>
      <c r="L373" s="13"/>
      <c r="M373" s="13"/>
      <c r="N373" s="13"/>
      <c r="O373" s="13"/>
      <c r="P373" s="13"/>
      <c r="Q373" s="13"/>
      <c r="R373" s="13"/>
      <c r="S373" s="13"/>
      <c r="T373" s="13"/>
      <c r="U373" s="13"/>
      <c r="V373" s="13"/>
      <c r="W373" s="13"/>
    </row>
    <row r="374" ht="15.75" customHeight="1" spans="1:23">
      <c r="A374" s="13"/>
      <c r="B374" s="13"/>
      <c r="C374" s="13"/>
      <c r="D374" s="13"/>
      <c r="E374" s="13"/>
      <c r="F374" s="13"/>
      <c r="G374" s="13"/>
      <c r="H374" s="13"/>
      <c r="I374" s="13"/>
      <c r="J374" s="13"/>
      <c r="K374" s="13"/>
      <c r="L374" s="13"/>
      <c r="M374" s="13"/>
      <c r="N374" s="13"/>
      <c r="O374" s="13"/>
      <c r="P374" s="13"/>
      <c r="Q374" s="13"/>
      <c r="R374" s="13"/>
      <c r="S374" s="13"/>
      <c r="T374" s="13"/>
      <c r="U374" s="13"/>
      <c r="V374" s="13"/>
      <c r="W374" s="13"/>
    </row>
    <row r="375" ht="15.75" customHeight="1" spans="1:23">
      <c r="A375" s="13"/>
      <c r="B375" s="13"/>
      <c r="C375" s="13"/>
      <c r="D375" s="13"/>
      <c r="E375" s="13"/>
      <c r="F375" s="13"/>
      <c r="G375" s="13"/>
      <c r="H375" s="13"/>
      <c r="I375" s="13"/>
      <c r="J375" s="13"/>
      <c r="K375" s="13"/>
      <c r="L375" s="13"/>
      <c r="M375" s="13"/>
      <c r="N375" s="13"/>
      <c r="O375" s="13"/>
      <c r="P375" s="13"/>
      <c r="Q375" s="13"/>
      <c r="R375" s="13"/>
      <c r="S375" s="13"/>
      <c r="T375" s="13"/>
      <c r="U375" s="13"/>
      <c r="V375" s="13"/>
      <c r="W375" s="13"/>
    </row>
    <row r="376" ht="15.75" customHeight="1" spans="1:23">
      <c r="A376" s="13"/>
      <c r="B376" s="13"/>
      <c r="C376" s="13"/>
      <c r="D376" s="13"/>
      <c r="E376" s="13"/>
      <c r="F376" s="13"/>
      <c r="G376" s="13"/>
      <c r="H376" s="13"/>
      <c r="I376" s="13"/>
      <c r="J376" s="13"/>
      <c r="K376" s="13"/>
      <c r="L376" s="13"/>
      <c r="M376" s="13"/>
      <c r="N376" s="13"/>
      <c r="O376" s="13"/>
      <c r="P376" s="13"/>
      <c r="Q376" s="13"/>
      <c r="R376" s="13"/>
      <c r="S376" s="13"/>
      <c r="T376" s="13"/>
      <c r="U376" s="13"/>
      <c r="V376" s="13"/>
      <c r="W376" s="13"/>
    </row>
    <row r="377" ht="15.75" customHeight="1" spans="1:23">
      <c r="A377" s="13"/>
      <c r="B377" s="13"/>
      <c r="C377" s="13"/>
      <c r="D377" s="13"/>
      <c r="E377" s="13"/>
      <c r="F377" s="13"/>
      <c r="G377" s="13"/>
      <c r="H377" s="13"/>
      <c r="I377" s="13"/>
      <c r="J377" s="13"/>
      <c r="K377" s="13"/>
      <c r="L377" s="13"/>
      <c r="M377" s="13"/>
      <c r="N377" s="13"/>
      <c r="O377" s="13"/>
      <c r="P377" s="13"/>
      <c r="Q377" s="13"/>
      <c r="R377" s="13"/>
      <c r="S377" s="13"/>
      <c r="T377" s="13"/>
      <c r="U377" s="13"/>
      <c r="V377" s="13"/>
      <c r="W377" s="13"/>
    </row>
    <row r="378" ht="15.75" customHeight="1" spans="1:23">
      <c r="A378" s="13"/>
      <c r="B378" s="13"/>
      <c r="C378" s="13"/>
      <c r="D378" s="13"/>
      <c r="E378" s="13"/>
      <c r="F378" s="13"/>
      <c r="G378" s="13"/>
      <c r="H378" s="13"/>
      <c r="I378" s="13"/>
      <c r="J378" s="13"/>
      <c r="K378" s="13"/>
      <c r="L378" s="13"/>
      <c r="M378" s="13"/>
      <c r="N378" s="13"/>
      <c r="O378" s="13"/>
      <c r="P378" s="13"/>
      <c r="Q378" s="13"/>
      <c r="R378" s="13"/>
      <c r="S378" s="13"/>
      <c r="T378" s="13"/>
      <c r="U378" s="13"/>
      <c r="V378" s="13"/>
      <c r="W378" s="13"/>
    </row>
    <row r="379" ht="15.75" customHeight="1" spans="1:23">
      <c r="A379" s="13"/>
      <c r="B379" s="13"/>
      <c r="C379" s="13"/>
      <c r="D379" s="13"/>
      <c r="E379" s="13"/>
      <c r="F379" s="13"/>
      <c r="G379" s="13"/>
      <c r="H379" s="13"/>
      <c r="I379" s="13"/>
      <c r="J379" s="13"/>
      <c r="K379" s="13"/>
      <c r="L379" s="13"/>
      <c r="M379" s="13"/>
      <c r="N379" s="13"/>
      <c r="O379" s="13"/>
      <c r="P379" s="13"/>
      <c r="Q379" s="13"/>
      <c r="R379" s="13"/>
      <c r="S379" s="13"/>
      <c r="T379" s="13"/>
      <c r="U379" s="13"/>
      <c r="V379" s="13"/>
      <c r="W379" s="13"/>
    </row>
    <row r="380" ht="15.75" customHeight="1" spans="1:23">
      <c r="A380" s="13"/>
      <c r="B380" s="13"/>
      <c r="C380" s="13"/>
      <c r="D380" s="13"/>
      <c r="E380" s="13"/>
      <c r="F380" s="13"/>
      <c r="G380" s="13"/>
      <c r="H380" s="13"/>
      <c r="I380" s="13"/>
      <c r="J380" s="13"/>
      <c r="K380" s="13"/>
      <c r="L380" s="13"/>
      <c r="M380" s="13"/>
      <c r="N380" s="13"/>
      <c r="O380" s="13"/>
      <c r="P380" s="13"/>
      <c r="Q380" s="13"/>
      <c r="R380" s="13"/>
      <c r="S380" s="13"/>
      <c r="T380" s="13"/>
      <c r="U380" s="13"/>
      <c r="V380" s="13"/>
      <c r="W380" s="13"/>
    </row>
    <row r="381" ht="15.75" customHeight="1" spans="1:23">
      <c r="A381" s="13"/>
      <c r="B381" s="13"/>
      <c r="C381" s="13"/>
      <c r="D381" s="13"/>
      <c r="E381" s="13"/>
      <c r="F381" s="13"/>
      <c r="G381" s="13"/>
      <c r="H381" s="13"/>
      <c r="I381" s="13"/>
      <c r="J381" s="13"/>
      <c r="K381" s="13"/>
      <c r="L381" s="13"/>
      <c r="M381" s="13"/>
      <c r="N381" s="13"/>
      <c r="O381" s="13"/>
      <c r="P381" s="13"/>
      <c r="Q381" s="13"/>
      <c r="R381" s="13"/>
      <c r="S381" s="13"/>
      <c r="T381" s="13"/>
      <c r="U381" s="13"/>
      <c r="V381" s="13"/>
      <c r="W381" s="13"/>
    </row>
    <row r="382" ht="15.75" customHeight="1" spans="1:23">
      <c r="A382" s="13"/>
      <c r="B382" s="13"/>
      <c r="C382" s="13"/>
      <c r="D382" s="13"/>
      <c r="E382" s="13"/>
      <c r="F382" s="13"/>
      <c r="G382" s="13"/>
      <c r="H382" s="13"/>
      <c r="I382" s="13"/>
      <c r="J382" s="13"/>
      <c r="K382" s="13"/>
      <c r="L382" s="13"/>
      <c r="M382" s="13"/>
      <c r="N382" s="13"/>
      <c r="O382" s="13"/>
      <c r="P382" s="13"/>
      <c r="Q382" s="13"/>
      <c r="R382" s="13"/>
      <c r="S382" s="13"/>
      <c r="T382" s="13"/>
      <c r="U382" s="13"/>
      <c r="V382" s="13"/>
      <c r="W382" s="13"/>
    </row>
    <row r="383" ht="15.75" customHeight="1" spans="1:23">
      <c r="A383" s="13"/>
      <c r="B383" s="13"/>
      <c r="C383" s="13"/>
      <c r="D383" s="13"/>
      <c r="E383" s="13"/>
      <c r="F383" s="13"/>
      <c r="G383" s="13"/>
      <c r="H383" s="13"/>
      <c r="I383" s="13"/>
      <c r="J383" s="13"/>
      <c r="K383" s="13"/>
      <c r="L383" s="13"/>
      <c r="M383" s="13"/>
      <c r="N383" s="13"/>
      <c r="O383" s="13"/>
      <c r="P383" s="13"/>
      <c r="Q383" s="13"/>
      <c r="R383" s="13"/>
      <c r="S383" s="13"/>
      <c r="T383" s="13"/>
      <c r="U383" s="13"/>
      <c r="V383" s="13"/>
      <c r="W383" s="13"/>
    </row>
    <row r="384" ht="15.75" customHeight="1" spans="1:23">
      <c r="A384" s="13"/>
      <c r="B384" s="13"/>
      <c r="C384" s="13"/>
      <c r="D384" s="13"/>
      <c r="E384" s="13"/>
      <c r="F384" s="13"/>
      <c r="G384" s="13"/>
      <c r="H384" s="13"/>
      <c r="I384" s="13"/>
      <c r="J384" s="13"/>
      <c r="K384" s="13"/>
      <c r="L384" s="13"/>
      <c r="M384" s="13"/>
      <c r="N384" s="13"/>
      <c r="O384" s="13"/>
      <c r="P384" s="13"/>
      <c r="Q384" s="13"/>
      <c r="R384" s="13"/>
      <c r="S384" s="13"/>
      <c r="T384" s="13"/>
      <c r="U384" s="13"/>
      <c r="V384" s="13"/>
      <c r="W384" s="13"/>
    </row>
    <row r="385" ht="15.75" customHeight="1" spans="1:23">
      <c r="A385" s="13"/>
      <c r="B385" s="13"/>
      <c r="C385" s="13"/>
      <c r="D385" s="13"/>
      <c r="E385" s="13"/>
      <c r="F385" s="13"/>
      <c r="G385" s="13"/>
      <c r="H385" s="13"/>
      <c r="I385" s="13"/>
      <c r="J385" s="13"/>
      <c r="K385" s="13"/>
      <c r="L385" s="13"/>
      <c r="M385" s="13"/>
      <c r="N385" s="13"/>
      <c r="O385" s="13"/>
      <c r="P385" s="13"/>
      <c r="Q385" s="13"/>
      <c r="R385" s="13"/>
      <c r="S385" s="13"/>
      <c r="T385" s="13"/>
      <c r="U385" s="13"/>
      <c r="V385" s="13"/>
      <c r="W385" s="13"/>
    </row>
    <row r="386" ht="15.75" customHeight="1" spans="1:23">
      <c r="A386" s="13"/>
      <c r="B386" s="13"/>
      <c r="C386" s="13"/>
      <c r="D386" s="13"/>
      <c r="E386" s="13"/>
      <c r="F386" s="13"/>
      <c r="G386" s="13"/>
      <c r="H386" s="13"/>
      <c r="I386" s="13"/>
      <c r="J386" s="13"/>
      <c r="K386" s="13"/>
      <c r="L386" s="13"/>
      <c r="M386" s="13"/>
      <c r="N386" s="13"/>
      <c r="O386" s="13"/>
      <c r="P386" s="13"/>
      <c r="Q386" s="13"/>
      <c r="R386" s="13"/>
      <c r="S386" s="13"/>
      <c r="T386" s="13"/>
      <c r="U386" s="13"/>
      <c r="V386" s="13"/>
      <c r="W386" s="13"/>
    </row>
    <row r="387" ht="15.75" customHeight="1" spans="1:23">
      <c r="A387" s="13"/>
      <c r="B387" s="13"/>
      <c r="C387" s="13"/>
      <c r="D387" s="13"/>
      <c r="E387" s="13"/>
      <c r="F387" s="13"/>
      <c r="G387" s="13"/>
      <c r="H387" s="13"/>
      <c r="I387" s="13"/>
      <c r="J387" s="13"/>
      <c r="K387" s="13"/>
      <c r="L387" s="13"/>
      <c r="M387" s="13"/>
      <c r="N387" s="13"/>
      <c r="O387" s="13"/>
      <c r="P387" s="13"/>
      <c r="Q387" s="13"/>
      <c r="R387" s="13"/>
      <c r="S387" s="13"/>
      <c r="T387" s="13"/>
      <c r="U387" s="13"/>
      <c r="V387" s="13"/>
      <c r="W387" s="13"/>
    </row>
    <row r="388" ht="15.75" customHeight="1" spans="1:23">
      <c r="A388" s="13"/>
      <c r="B388" s="13"/>
      <c r="C388" s="13"/>
      <c r="D388" s="13"/>
      <c r="E388" s="13"/>
      <c r="F388" s="13"/>
      <c r="G388" s="13"/>
      <c r="H388" s="13"/>
      <c r="I388" s="13"/>
      <c r="J388" s="13"/>
      <c r="K388" s="13"/>
      <c r="L388" s="13"/>
      <c r="M388" s="13"/>
      <c r="N388" s="13"/>
      <c r="O388" s="13"/>
      <c r="P388" s="13"/>
      <c r="Q388" s="13"/>
      <c r="R388" s="13"/>
      <c r="S388" s="13"/>
      <c r="T388" s="13"/>
      <c r="U388" s="13"/>
      <c r="V388" s="13"/>
      <c r="W388" s="13"/>
    </row>
    <row r="389" ht="15.75" customHeight="1" spans="1:23">
      <c r="A389" s="13"/>
      <c r="B389" s="13"/>
      <c r="C389" s="13"/>
      <c r="D389" s="13"/>
      <c r="E389" s="13"/>
      <c r="F389" s="13"/>
      <c r="G389" s="13"/>
      <c r="H389" s="13"/>
      <c r="I389" s="13"/>
      <c r="J389" s="13"/>
      <c r="K389" s="13"/>
      <c r="L389" s="13"/>
      <c r="M389" s="13"/>
      <c r="N389" s="13"/>
      <c r="O389" s="13"/>
      <c r="P389" s="13"/>
      <c r="Q389" s="13"/>
      <c r="R389" s="13"/>
      <c r="S389" s="13"/>
      <c r="T389" s="13"/>
      <c r="U389" s="13"/>
      <c r="V389" s="13"/>
      <c r="W389" s="13"/>
    </row>
    <row r="390" ht="15.75" customHeight="1" spans="1:23">
      <c r="A390" s="13"/>
      <c r="B390" s="13"/>
      <c r="C390" s="13"/>
      <c r="D390" s="13"/>
      <c r="E390" s="13"/>
      <c r="F390" s="13"/>
      <c r="G390" s="13"/>
      <c r="H390" s="13"/>
      <c r="I390" s="13"/>
      <c r="J390" s="13"/>
      <c r="K390" s="13"/>
      <c r="L390" s="13"/>
      <c r="M390" s="13"/>
      <c r="N390" s="13"/>
      <c r="O390" s="13"/>
      <c r="P390" s="13"/>
      <c r="Q390" s="13"/>
      <c r="R390" s="13"/>
      <c r="S390" s="13"/>
      <c r="T390" s="13"/>
      <c r="U390" s="13"/>
      <c r="V390" s="13"/>
      <c r="W390" s="13"/>
    </row>
    <row r="391" ht="15.75" customHeight="1" spans="1:23">
      <c r="A391" s="13"/>
      <c r="B391" s="13"/>
      <c r="C391" s="13"/>
      <c r="D391" s="13"/>
      <c r="E391" s="13"/>
      <c r="F391" s="13"/>
      <c r="G391" s="13"/>
      <c r="H391" s="13"/>
      <c r="I391" s="13"/>
      <c r="J391" s="13"/>
      <c r="K391" s="13"/>
      <c r="L391" s="13"/>
      <c r="M391" s="13"/>
      <c r="N391" s="13"/>
      <c r="O391" s="13"/>
      <c r="P391" s="13"/>
      <c r="Q391" s="13"/>
      <c r="R391" s="13"/>
      <c r="S391" s="13"/>
      <c r="T391" s="13"/>
      <c r="U391" s="13"/>
      <c r="V391" s="13"/>
      <c r="W391" s="13"/>
    </row>
    <row r="392" ht="15.75" customHeight="1" spans="1:23">
      <c r="A392" s="13"/>
      <c r="B392" s="13"/>
      <c r="C392" s="13"/>
      <c r="D392" s="13"/>
      <c r="E392" s="13"/>
      <c r="F392" s="13"/>
      <c r="G392" s="13"/>
      <c r="H392" s="13"/>
      <c r="I392" s="13"/>
      <c r="J392" s="13"/>
      <c r="K392" s="13"/>
      <c r="L392" s="13"/>
      <c r="M392" s="13"/>
      <c r="N392" s="13"/>
      <c r="O392" s="13"/>
      <c r="P392" s="13"/>
      <c r="Q392" s="13"/>
      <c r="R392" s="13"/>
      <c r="S392" s="13"/>
      <c r="T392" s="13"/>
      <c r="U392" s="13"/>
      <c r="V392" s="13"/>
      <c r="W392" s="13"/>
    </row>
    <row r="393" ht="15.75" customHeight="1" spans="1:23">
      <c r="A393" s="13"/>
      <c r="B393" s="13"/>
      <c r="C393" s="13"/>
      <c r="D393" s="13"/>
      <c r="E393" s="13"/>
      <c r="F393" s="13"/>
      <c r="G393" s="13"/>
      <c r="H393" s="13"/>
      <c r="I393" s="13"/>
      <c r="J393" s="13"/>
      <c r="K393" s="13"/>
      <c r="L393" s="13"/>
      <c r="M393" s="13"/>
      <c r="N393" s="13"/>
      <c r="O393" s="13"/>
      <c r="P393" s="13"/>
      <c r="Q393" s="13"/>
      <c r="R393" s="13"/>
      <c r="S393" s="13"/>
      <c r="T393" s="13"/>
      <c r="U393" s="13"/>
      <c r="V393" s="13"/>
      <c r="W393" s="13"/>
    </row>
    <row r="394" ht="15.75" customHeight="1" spans="1:23">
      <c r="A394" s="13"/>
      <c r="B394" s="13"/>
      <c r="C394" s="13"/>
      <c r="D394" s="13"/>
      <c r="E394" s="13"/>
      <c r="F394" s="13"/>
      <c r="G394" s="13"/>
      <c r="H394" s="13"/>
      <c r="I394" s="13"/>
      <c r="J394" s="13"/>
      <c r="K394" s="13"/>
      <c r="L394" s="13"/>
      <c r="M394" s="13"/>
      <c r="N394" s="13"/>
      <c r="O394" s="13"/>
      <c r="P394" s="13"/>
      <c r="Q394" s="13"/>
      <c r="R394" s="13"/>
      <c r="S394" s="13"/>
      <c r="T394" s="13"/>
      <c r="U394" s="13"/>
      <c r="V394" s="13"/>
      <c r="W394" s="13"/>
    </row>
    <row r="395" ht="15.75" customHeight="1" spans="1:23">
      <c r="A395" s="13"/>
      <c r="B395" s="13"/>
      <c r="C395" s="13"/>
      <c r="D395" s="13"/>
      <c r="E395" s="13"/>
      <c r="F395" s="13"/>
      <c r="G395" s="13"/>
      <c r="H395" s="13"/>
      <c r="I395" s="13"/>
      <c r="J395" s="13"/>
      <c r="K395" s="13"/>
      <c r="L395" s="13"/>
      <c r="M395" s="13"/>
      <c r="N395" s="13"/>
      <c r="O395" s="13"/>
      <c r="P395" s="13"/>
      <c r="Q395" s="13"/>
      <c r="R395" s="13"/>
      <c r="S395" s="13"/>
      <c r="T395" s="13"/>
      <c r="U395" s="13"/>
      <c r="V395" s="13"/>
      <c r="W395" s="13"/>
    </row>
    <row r="396" ht="15.75" customHeight="1" spans="1:23">
      <c r="A396" s="13"/>
      <c r="B396" s="13"/>
      <c r="C396" s="13"/>
      <c r="D396" s="13"/>
      <c r="E396" s="13"/>
      <c r="F396" s="13"/>
      <c r="G396" s="13"/>
      <c r="H396" s="13"/>
      <c r="I396" s="13"/>
      <c r="J396" s="13"/>
      <c r="K396" s="13"/>
      <c r="L396" s="13"/>
      <c r="M396" s="13"/>
      <c r="N396" s="13"/>
      <c r="O396" s="13"/>
      <c r="P396" s="13"/>
      <c r="Q396" s="13"/>
      <c r="R396" s="13"/>
      <c r="S396" s="13"/>
      <c r="T396" s="13"/>
      <c r="U396" s="13"/>
      <c r="V396" s="13"/>
      <c r="W396" s="13"/>
    </row>
    <row r="397" ht="15.75" customHeight="1" spans="1:23">
      <c r="A397" s="13"/>
      <c r="B397" s="13"/>
      <c r="C397" s="13"/>
      <c r="D397" s="13"/>
      <c r="E397" s="13"/>
      <c r="F397" s="13"/>
      <c r="G397" s="13"/>
      <c r="H397" s="13"/>
      <c r="I397" s="13"/>
      <c r="J397" s="13"/>
      <c r="K397" s="13"/>
      <c r="L397" s="13"/>
      <c r="M397" s="13"/>
      <c r="N397" s="13"/>
      <c r="O397" s="13"/>
      <c r="P397" s="13"/>
      <c r="Q397" s="13"/>
      <c r="R397" s="13"/>
      <c r="S397" s="13"/>
      <c r="T397" s="13"/>
      <c r="U397" s="13"/>
      <c r="V397" s="13"/>
      <c r="W397" s="13"/>
    </row>
    <row r="398" ht="15.75" customHeight="1" spans="1:23">
      <c r="A398" s="13"/>
      <c r="B398" s="13"/>
      <c r="C398" s="13"/>
      <c r="D398" s="13"/>
      <c r="E398" s="13"/>
      <c r="F398" s="13"/>
      <c r="G398" s="13"/>
      <c r="H398" s="13"/>
      <c r="I398" s="13"/>
      <c r="J398" s="13"/>
      <c r="K398" s="13"/>
      <c r="L398" s="13"/>
      <c r="M398" s="13"/>
      <c r="N398" s="13"/>
      <c r="O398" s="13"/>
      <c r="P398" s="13"/>
      <c r="Q398" s="13"/>
      <c r="R398" s="13"/>
      <c r="S398" s="13"/>
      <c r="T398" s="13"/>
      <c r="U398" s="13"/>
      <c r="V398" s="13"/>
      <c r="W398" s="13"/>
    </row>
    <row r="399" ht="15.75" customHeight="1" spans="1:23">
      <c r="A399" s="13"/>
      <c r="B399" s="13"/>
      <c r="C399" s="13"/>
      <c r="D399" s="13"/>
      <c r="E399" s="13"/>
      <c r="F399" s="13"/>
      <c r="G399" s="13"/>
      <c r="H399" s="13"/>
      <c r="I399" s="13"/>
      <c r="J399" s="13"/>
      <c r="K399" s="13"/>
      <c r="L399" s="13"/>
      <c r="M399" s="13"/>
      <c r="N399" s="13"/>
      <c r="O399" s="13"/>
      <c r="P399" s="13"/>
      <c r="Q399" s="13"/>
      <c r="R399" s="13"/>
      <c r="S399" s="13"/>
      <c r="T399" s="13"/>
      <c r="U399" s="13"/>
      <c r="V399" s="13"/>
      <c r="W399" s="13"/>
    </row>
    <row r="400" ht="15.75" customHeight="1" spans="1:23">
      <c r="A400" s="13"/>
      <c r="B400" s="13"/>
      <c r="C400" s="13"/>
      <c r="D400" s="13"/>
      <c r="E400" s="13"/>
      <c r="F400" s="13"/>
      <c r="G400" s="13"/>
      <c r="H400" s="13"/>
      <c r="I400" s="13"/>
      <c r="J400" s="13"/>
      <c r="K400" s="13"/>
      <c r="L400" s="13"/>
      <c r="M400" s="13"/>
      <c r="N400" s="13"/>
      <c r="O400" s="13"/>
      <c r="P400" s="13"/>
      <c r="Q400" s="13"/>
      <c r="R400" s="13"/>
      <c r="S400" s="13"/>
      <c r="T400" s="13"/>
      <c r="U400" s="13"/>
      <c r="V400" s="13"/>
      <c r="W400" s="13"/>
    </row>
    <row r="401" ht="15.75" customHeight="1" spans="1:23">
      <c r="A401" s="13"/>
      <c r="B401" s="13"/>
      <c r="C401" s="13"/>
      <c r="D401" s="13"/>
      <c r="E401" s="13"/>
      <c r="F401" s="13"/>
      <c r="G401" s="13"/>
      <c r="H401" s="13"/>
      <c r="I401" s="13"/>
      <c r="J401" s="13"/>
      <c r="K401" s="13"/>
      <c r="L401" s="13"/>
      <c r="M401" s="13"/>
      <c r="N401" s="13"/>
      <c r="O401" s="13"/>
      <c r="P401" s="13"/>
      <c r="Q401" s="13"/>
      <c r="R401" s="13"/>
      <c r="S401" s="13"/>
      <c r="T401" s="13"/>
      <c r="U401" s="13"/>
      <c r="V401" s="13"/>
      <c r="W401" s="13"/>
    </row>
    <row r="402" ht="15.75" customHeight="1" spans="1:23">
      <c r="A402" s="13"/>
      <c r="B402" s="13"/>
      <c r="C402" s="13"/>
      <c r="D402" s="13"/>
      <c r="E402" s="13"/>
      <c r="F402" s="13"/>
      <c r="G402" s="13"/>
      <c r="H402" s="13"/>
      <c r="I402" s="13"/>
      <c r="J402" s="13"/>
      <c r="K402" s="13"/>
      <c r="L402" s="13"/>
      <c r="M402" s="13"/>
      <c r="N402" s="13"/>
      <c r="O402" s="13"/>
      <c r="P402" s="13"/>
      <c r="Q402" s="13"/>
      <c r="R402" s="13"/>
      <c r="S402" s="13"/>
      <c r="T402" s="13"/>
      <c r="U402" s="13"/>
      <c r="V402" s="13"/>
      <c r="W402" s="13"/>
    </row>
    <row r="403" ht="15.75" customHeight="1" spans="1:23">
      <c r="A403" s="13"/>
      <c r="B403" s="13"/>
      <c r="C403" s="13"/>
      <c r="D403" s="13"/>
      <c r="E403" s="13"/>
      <c r="F403" s="13"/>
      <c r="G403" s="13"/>
      <c r="H403" s="13"/>
      <c r="I403" s="13"/>
      <c r="J403" s="13"/>
      <c r="K403" s="13"/>
      <c r="L403" s="13"/>
      <c r="M403" s="13"/>
      <c r="N403" s="13"/>
      <c r="O403" s="13"/>
      <c r="P403" s="13"/>
      <c r="Q403" s="13"/>
      <c r="R403" s="13"/>
      <c r="S403" s="13"/>
      <c r="T403" s="13"/>
      <c r="U403" s="13"/>
      <c r="V403" s="13"/>
      <c r="W403" s="13"/>
    </row>
    <row r="404" ht="15.75" customHeight="1" spans="1:23">
      <c r="A404" s="13"/>
      <c r="B404" s="13"/>
      <c r="C404" s="13"/>
      <c r="D404" s="13"/>
      <c r="E404" s="13"/>
      <c r="F404" s="13"/>
      <c r="G404" s="13"/>
      <c r="H404" s="13"/>
      <c r="I404" s="13"/>
      <c r="J404" s="13"/>
      <c r="K404" s="13"/>
      <c r="L404" s="13"/>
      <c r="M404" s="13"/>
      <c r="N404" s="13"/>
      <c r="O404" s="13"/>
      <c r="P404" s="13"/>
      <c r="Q404" s="13"/>
      <c r="R404" s="13"/>
      <c r="S404" s="13"/>
      <c r="T404" s="13"/>
      <c r="U404" s="13"/>
      <c r="V404" s="13"/>
      <c r="W404" s="13"/>
    </row>
    <row r="405" ht="15.75" customHeight="1" spans="1:23">
      <c r="A405" s="13"/>
      <c r="B405" s="13"/>
      <c r="C405" s="13"/>
      <c r="D405" s="13"/>
      <c r="E405" s="13"/>
      <c r="F405" s="13"/>
      <c r="G405" s="13"/>
      <c r="H405" s="13"/>
      <c r="I405" s="13"/>
      <c r="J405" s="13"/>
      <c r="K405" s="13"/>
      <c r="L405" s="13"/>
      <c r="M405" s="13"/>
      <c r="N405" s="13"/>
      <c r="O405" s="13"/>
      <c r="P405" s="13"/>
      <c r="Q405" s="13"/>
      <c r="R405" s="13"/>
      <c r="S405" s="13"/>
      <c r="T405" s="13"/>
      <c r="U405" s="13"/>
      <c r="V405" s="13"/>
      <c r="W405" s="13"/>
    </row>
    <row r="406" ht="15.75" customHeight="1" spans="1:23">
      <c r="A406" s="13"/>
      <c r="B406" s="13"/>
      <c r="C406" s="13"/>
      <c r="D406" s="13"/>
      <c r="E406" s="13"/>
      <c r="F406" s="13"/>
      <c r="G406" s="13"/>
      <c r="H406" s="13"/>
      <c r="I406" s="13"/>
      <c r="J406" s="13"/>
      <c r="K406" s="13"/>
      <c r="L406" s="13"/>
      <c r="M406" s="13"/>
      <c r="N406" s="13"/>
      <c r="O406" s="13"/>
      <c r="P406" s="13"/>
      <c r="Q406" s="13"/>
      <c r="R406" s="13"/>
      <c r="S406" s="13"/>
      <c r="T406" s="13"/>
      <c r="U406" s="13"/>
      <c r="V406" s="13"/>
      <c r="W406" s="13"/>
    </row>
    <row r="407" ht="15.75" customHeight="1" spans="1:23">
      <c r="A407" s="13"/>
      <c r="B407" s="13"/>
      <c r="C407" s="13"/>
      <c r="D407" s="13"/>
      <c r="E407" s="13"/>
      <c r="F407" s="13"/>
      <c r="G407" s="13"/>
      <c r="H407" s="13"/>
      <c r="I407" s="13"/>
      <c r="J407" s="13"/>
      <c r="K407" s="13"/>
      <c r="L407" s="13"/>
      <c r="M407" s="13"/>
      <c r="N407" s="13"/>
      <c r="O407" s="13"/>
      <c r="P407" s="13"/>
      <c r="Q407" s="13"/>
      <c r="R407" s="13"/>
      <c r="S407" s="13"/>
      <c r="T407" s="13"/>
      <c r="U407" s="13"/>
      <c r="V407" s="13"/>
      <c r="W407" s="13"/>
    </row>
    <row r="408" ht="15.75" customHeight="1" spans="1:23">
      <c r="A408" s="13"/>
      <c r="B408" s="13"/>
      <c r="C408" s="13"/>
      <c r="D408" s="13"/>
      <c r="E408" s="13"/>
      <c r="F408" s="13"/>
      <c r="G408" s="13"/>
      <c r="H408" s="13"/>
      <c r="I408" s="13"/>
      <c r="J408" s="13"/>
      <c r="K408" s="13"/>
      <c r="L408" s="13"/>
      <c r="M408" s="13"/>
      <c r="N408" s="13"/>
      <c r="O408" s="13"/>
      <c r="P408" s="13"/>
      <c r="Q408" s="13"/>
      <c r="R408" s="13"/>
      <c r="S408" s="13"/>
      <c r="T408" s="13"/>
      <c r="U408" s="13"/>
      <c r="V408" s="13"/>
      <c r="W408" s="13"/>
    </row>
    <row r="409" ht="15.75" customHeight="1" spans="1:23">
      <c r="A409" s="13"/>
      <c r="B409" s="13"/>
      <c r="C409" s="13"/>
      <c r="D409" s="13"/>
      <c r="E409" s="13"/>
      <c r="F409" s="13"/>
      <c r="G409" s="13"/>
      <c r="H409" s="13"/>
      <c r="I409" s="13"/>
      <c r="J409" s="13"/>
      <c r="K409" s="13"/>
      <c r="L409" s="13"/>
      <c r="M409" s="13"/>
      <c r="N409" s="13"/>
      <c r="O409" s="13"/>
      <c r="P409" s="13"/>
      <c r="Q409" s="13"/>
      <c r="R409" s="13"/>
      <c r="S409" s="13"/>
      <c r="T409" s="13"/>
      <c r="U409" s="13"/>
      <c r="V409" s="13"/>
      <c r="W409" s="13"/>
    </row>
    <row r="410" ht="15.75" customHeight="1" spans="1:23">
      <c r="A410" s="13"/>
      <c r="B410" s="13"/>
      <c r="C410" s="13"/>
      <c r="D410" s="13"/>
      <c r="E410" s="13"/>
      <c r="F410" s="13"/>
      <c r="G410" s="13"/>
      <c r="H410" s="13"/>
      <c r="I410" s="13"/>
      <c r="J410" s="13"/>
      <c r="K410" s="13"/>
      <c r="L410" s="13"/>
      <c r="M410" s="13"/>
      <c r="N410" s="13"/>
      <c r="O410" s="13"/>
      <c r="P410" s="13"/>
      <c r="Q410" s="13"/>
      <c r="R410" s="13"/>
      <c r="S410" s="13"/>
      <c r="T410" s="13"/>
      <c r="U410" s="13"/>
      <c r="V410" s="13"/>
      <c r="W410" s="13"/>
    </row>
    <row r="411" ht="15.75" customHeight="1" spans="1:23">
      <c r="A411" s="13"/>
      <c r="B411" s="13"/>
      <c r="C411" s="13"/>
      <c r="D411" s="13"/>
      <c r="E411" s="13"/>
      <c r="F411" s="13"/>
      <c r="G411" s="13"/>
      <c r="H411" s="13"/>
      <c r="I411" s="13"/>
      <c r="J411" s="13"/>
      <c r="K411" s="13"/>
      <c r="L411" s="13"/>
      <c r="M411" s="13"/>
      <c r="N411" s="13"/>
      <c r="O411" s="13"/>
      <c r="P411" s="13"/>
      <c r="Q411" s="13"/>
      <c r="R411" s="13"/>
      <c r="S411" s="13"/>
      <c r="T411" s="13"/>
      <c r="U411" s="13"/>
      <c r="V411" s="13"/>
      <c r="W411" s="13"/>
    </row>
    <row r="412" ht="15.75" customHeight="1" spans="1:23">
      <c r="A412" s="13"/>
      <c r="B412" s="13"/>
      <c r="C412" s="13"/>
      <c r="D412" s="13"/>
      <c r="E412" s="13"/>
      <c r="F412" s="13"/>
      <c r="G412" s="13"/>
      <c r="H412" s="13"/>
      <c r="I412" s="13"/>
      <c r="J412" s="13"/>
      <c r="K412" s="13"/>
      <c r="L412" s="13"/>
      <c r="M412" s="13"/>
      <c r="N412" s="13"/>
      <c r="O412" s="13"/>
      <c r="P412" s="13"/>
      <c r="Q412" s="13"/>
      <c r="R412" s="13"/>
      <c r="S412" s="13"/>
      <c r="T412" s="13"/>
      <c r="U412" s="13"/>
      <c r="V412" s="13"/>
      <c r="W412" s="13"/>
    </row>
    <row r="413" ht="15.75" customHeight="1" spans="1:23">
      <c r="A413" s="13"/>
      <c r="B413" s="13"/>
      <c r="C413" s="13"/>
      <c r="D413" s="13"/>
      <c r="E413" s="13"/>
      <c r="F413" s="13"/>
      <c r="G413" s="13"/>
      <c r="H413" s="13"/>
      <c r="I413" s="13"/>
      <c r="J413" s="13"/>
      <c r="K413" s="13"/>
      <c r="L413" s="13"/>
      <c r="M413" s="13"/>
      <c r="N413" s="13"/>
      <c r="O413" s="13"/>
      <c r="P413" s="13"/>
      <c r="Q413" s="13"/>
      <c r="R413" s="13"/>
      <c r="S413" s="13"/>
      <c r="T413" s="13"/>
      <c r="U413" s="13"/>
      <c r="V413" s="13"/>
      <c r="W413" s="13"/>
    </row>
    <row r="414" ht="15.75" customHeight="1" spans="1:23">
      <c r="A414" s="13"/>
      <c r="B414" s="13"/>
      <c r="C414" s="13"/>
      <c r="D414" s="13"/>
      <c r="E414" s="13"/>
      <c r="F414" s="13"/>
      <c r="G414" s="13"/>
      <c r="H414" s="13"/>
      <c r="I414" s="13"/>
      <c r="J414" s="13"/>
      <c r="K414" s="13"/>
      <c r="L414" s="13"/>
      <c r="M414" s="13"/>
      <c r="N414" s="13"/>
      <c r="O414" s="13"/>
      <c r="P414" s="13"/>
      <c r="Q414" s="13"/>
      <c r="R414" s="13"/>
      <c r="S414" s="13"/>
      <c r="T414" s="13"/>
      <c r="U414" s="13"/>
      <c r="V414" s="13"/>
      <c r="W414" s="13"/>
    </row>
    <row r="415" ht="15.75" customHeight="1" spans="1:23">
      <c r="A415" s="13"/>
      <c r="B415" s="13"/>
      <c r="C415" s="13"/>
      <c r="D415" s="13"/>
      <c r="E415" s="13"/>
      <c r="F415" s="13"/>
      <c r="G415" s="13"/>
      <c r="H415" s="13"/>
      <c r="I415" s="13"/>
      <c r="J415" s="13"/>
      <c r="K415" s="13"/>
      <c r="L415" s="13"/>
      <c r="M415" s="13"/>
      <c r="N415" s="13"/>
      <c r="O415" s="13"/>
      <c r="P415" s="13"/>
      <c r="Q415" s="13"/>
      <c r="R415" s="13"/>
      <c r="S415" s="13"/>
      <c r="T415" s="13"/>
      <c r="U415" s="13"/>
      <c r="V415" s="13"/>
      <c r="W415" s="13"/>
    </row>
    <row r="416" ht="15.75" customHeight="1" spans="1:23">
      <c r="A416" s="13"/>
      <c r="B416" s="13"/>
      <c r="C416" s="13"/>
      <c r="D416" s="13"/>
      <c r="E416" s="13"/>
      <c r="F416" s="13"/>
      <c r="G416" s="13"/>
      <c r="H416" s="13"/>
      <c r="I416" s="13"/>
      <c r="J416" s="13"/>
      <c r="K416" s="13"/>
      <c r="L416" s="13"/>
      <c r="M416" s="13"/>
      <c r="N416" s="13"/>
      <c r="O416" s="13"/>
      <c r="P416" s="13"/>
      <c r="Q416" s="13"/>
      <c r="R416" s="13"/>
      <c r="S416" s="13"/>
      <c r="T416" s="13"/>
      <c r="U416" s="13"/>
      <c r="V416" s="13"/>
      <c r="W416" s="13"/>
    </row>
    <row r="417" ht="15.75" customHeight="1" spans="1:23">
      <c r="A417" s="13"/>
      <c r="B417" s="13"/>
      <c r="C417" s="13"/>
      <c r="D417" s="13"/>
      <c r="E417" s="13"/>
      <c r="F417" s="13"/>
      <c r="G417" s="13"/>
      <c r="H417" s="13"/>
      <c r="I417" s="13"/>
      <c r="J417" s="13"/>
      <c r="K417" s="13"/>
      <c r="L417" s="13"/>
      <c r="M417" s="13"/>
      <c r="N417" s="13"/>
      <c r="O417" s="13"/>
      <c r="P417" s="13"/>
      <c r="Q417" s="13"/>
      <c r="R417" s="13"/>
      <c r="S417" s="13"/>
      <c r="T417" s="13"/>
      <c r="U417" s="13"/>
      <c r="V417" s="13"/>
      <c r="W417" s="13"/>
    </row>
    <row r="418" ht="15.75" customHeight="1" spans="1:23">
      <c r="A418" s="13"/>
      <c r="B418" s="13"/>
      <c r="C418" s="13"/>
      <c r="D418" s="13"/>
      <c r="E418" s="13"/>
      <c r="F418" s="13"/>
      <c r="G418" s="13"/>
      <c r="H418" s="13"/>
      <c r="I418" s="13"/>
      <c r="J418" s="13"/>
      <c r="K418" s="13"/>
      <c r="L418" s="13"/>
      <c r="M418" s="13"/>
      <c r="N418" s="13"/>
      <c r="O418" s="13"/>
      <c r="P418" s="13"/>
      <c r="Q418" s="13"/>
      <c r="R418" s="13"/>
      <c r="S418" s="13"/>
      <c r="T418" s="13"/>
      <c r="U418" s="13"/>
      <c r="V418" s="13"/>
      <c r="W418" s="13"/>
    </row>
    <row r="419" ht="15.75" customHeight="1" spans="1:23">
      <c r="A419" s="13"/>
      <c r="B419" s="13"/>
      <c r="C419" s="13"/>
      <c r="D419" s="13"/>
      <c r="E419" s="13"/>
      <c r="F419" s="13"/>
      <c r="G419" s="13"/>
      <c r="H419" s="13"/>
      <c r="I419" s="13"/>
      <c r="J419" s="13"/>
      <c r="K419" s="13"/>
      <c r="L419" s="13"/>
      <c r="M419" s="13"/>
      <c r="N419" s="13"/>
      <c r="O419" s="13"/>
      <c r="P419" s="13"/>
      <c r="Q419" s="13"/>
      <c r="R419" s="13"/>
      <c r="S419" s="13"/>
      <c r="T419" s="13"/>
      <c r="U419" s="13"/>
      <c r="V419" s="13"/>
      <c r="W419" s="13"/>
    </row>
    <row r="420" ht="15.75" customHeight="1" spans="1:23">
      <c r="A420" s="13"/>
      <c r="B420" s="13"/>
      <c r="C420" s="13"/>
      <c r="D420" s="13"/>
      <c r="E420" s="13"/>
      <c r="F420" s="13"/>
      <c r="G420" s="13"/>
      <c r="H420" s="13"/>
      <c r="I420" s="13"/>
      <c r="J420" s="13"/>
      <c r="K420" s="13"/>
      <c r="L420" s="13"/>
      <c r="M420" s="13"/>
      <c r="N420" s="13"/>
      <c r="O420" s="13"/>
      <c r="P420" s="13"/>
      <c r="Q420" s="13"/>
      <c r="R420" s="13"/>
      <c r="S420" s="13"/>
      <c r="T420" s="13"/>
      <c r="U420" s="13"/>
      <c r="V420" s="13"/>
      <c r="W420" s="13"/>
    </row>
    <row r="421" ht="15.75" customHeight="1" spans="1:23">
      <c r="A421" s="13"/>
      <c r="B421" s="13"/>
      <c r="C421" s="13"/>
      <c r="D421" s="13"/>
      <c r="E421" s="13"/>
      <c r="F421" s="13"/>
      <c r="G421" s="13"/>
      <c r="H421" s="13"/>
      <c r="I421" s="13"/>
      <c r="J421" s="13"/>
      <c r="K421" s="13"/>
      <c r="L421" s="13"/>
      <c r="M421" s="13"/>
      <c r="N421" s="13"/>
      <c r="O421" s="13"/>
      <c r="P421" s="13"/>
      <c r="Q421" s="13"/>
      <c r="R421" s="13"/>
      <c r="S421" s="13"/>
      <c r="T421" s="13"/>
      <c r="U421" s="13"/>
      <c r="V421" s="13"/>
      <c r="W421" s="13"/>
    </row>
    <row r="422" ht="15.75" customHeight="1" spans="1:23">
      <c r="A422" s="13"/>
      <c r="B422" s="13"/>
      <c r="C422" s="13"/>
      <c r="D422" s="13"/>
      <c r="E422" s="13"/>
      <c r="F422" s="13"/>
      <c r="G422" s="13"/>
      <c r="H422" s="13"/>
      <c r="I422" s="13"/>
      <c r="J422" s="13"/>
      <c r="K422" s="13"/>
      <c r="L422" s="13"/>
      <c r="M422" s="13"/>
      <c r="N422" s="13"/>
      <c r="O422" s="13"/>
      <c r="P422" s="13"/>
      <c r="Q422" s="13"/>
      <c r="R422" s="13"/>
      <c r="S422" s="13"/>
      <c r="T422" s="13"/>
      <c r="U422" s="13"/>
      <c r="V422" s="13"/>
      <c r="W422" s="13"/>
    </row>
    <row r="423" ht="15.75" customHeight="1" spans="1:23">
      <c r="A423" s="13"/>
      <c r="B423" s="13"/>
      <c r="C423" s="13"/>
      <c r="D423" s="13"/>
      <c r="E423" s="13"/>
      <c r="F423" s="13"/>
      <c r="G423" s="13"/>
      <c r="H423" s="13"/>
      <c r="I423" s="13"/>
      <c r="J423" s="13"/>
      <c r="K423" s="13"/>
      <c r="L423" s="13"/>
      <c r="M423" s="13"/>
      <c r="N423" s="13"/>
      <c r="O423" s="13"/>
      <c r="P423" s="13"/>
      <c r="Q423" s="13"/>
      <c r="R423" s="13"/>
      <c r="S423" s="13"/>
      <c r="T423" s="13"/>
      <c r="U423" s="13"/>
      <c r="V423" s="13"/>
      <c r="W423" s="13"/>
    </row>
    <row r="424" ht="15.75" customHeight="1" spans="1:23">
      <c r="A424" s="13"/>
      <c r="B424" s="13"/>
      <c r="C424" s="13"/>
      <c r="D424" s="13"/>
      <c r="E424" s="13"/>
      <c r="F424" s="13"/>
      <c r="G424" s="13"/>
      <c r="H424" s="13"/>
      <c r="I424" s="13"/>
      <c r="J424" s="13"/>
      <c r="K424" s="13"/>
      <c r="L424" s="13"/>
      <c r="M424" s="13"/>
      <c r="N424" s="13"/>
      <c r="O424" s="13"/>
      <c r="P424" s="13"/>
      <c r="Q424" s="13"/>
      <c r="R424" s="13"/>
      <c r="S424" s="13"/>
      <c r="T424" s="13"/>
      <c r="U424" s="13"/>
      <c r="V424" s="13"/>
      <c r="W424" s="13"/>
    </row>
    <row r="425" ht="15.75" customHeight="1" spans="1:23">
      <c r="A425" s="13"/>
      <c r="B425" s="13"/>
      <c r="C425" s="13"/>
      <c r="D425" s="13"/>
      <c r="E425" s="13"/>
      <c r="F425" s="13"/>
      <c r="G425" s="13"/>
      <c r="H425" s="13"/>
      <c r="I425" s="13"/>
      <c r="J425" s="13"/>
      <c r="K425" s="13"/>
      <c r="L425" s="13"/>
      <c r="M425" s="13"/>
      <c r="N425" s="13"/>
      <c r="O425" s="13"/>
      <c r="P425" s="13"/>
      <c r="Q425" s="13"/>
      <c r="R425" s="13"/>
      <c r="S425" s="13"/>
      <c r="T425" s="13"/>
      <c r="U425" s="13"/>
      <c r="V425" s="13"/>
      <c r="W425" s="13"/>
    </row>
    <row r="426" ht="15.75" customHeight="1" spans="1:23">
      <c r="A426" s="13"/>
      <c r="B426" s="13"/>
      <c r="C426" s="13"/>
      <c r="D426" s="13"/>
      <c r="E426" s="13"/>
      <c r="F426" s="13"/>
      <c r="G426" s="13"/>
      <c r="H426" s="13"/>
      <c r="I426" s="13"/>
      <c r="J426" s="13"/>
      <c r="K426" s="13"/>
      <c r="L426" s="13"/>
      <c r="M426" s="13"/>
      <c r="N426" s="13"/>
      <c r="O426" s="13"/>
      <c r="P426" s="13"/>
      <c r="Q426" s="13"/>
      <c r="R426" s="13"/>
      <c r="S426" s="13"/>
      <c r="T426" s="13"/>
      <c r="U426" s="13"/>
      <c r="V426" s="13"/>
      <c r="W426" s="13"/>
    </row>
    <row r="427" ht="15.75" customHeight="1" spans="1:23">
      <c r="A427" s="13"/>
      <c r="B427" s="13"/>
      <c r="C427" s="13"/>
      <c r="D427" s="13"/>
      <c r="E427" s="13"/>
      <c r="F427" s="13"/>
      <c r="G427" s="13"/>
      <c r="H427" s="13"/>
      <c r="I427" s="13"/>
      <c r="J427" s="13"/>
      <c r="K427" s="13"/>
      <c r="L427" s="13"/>
      <c r="M427" s="13"/>
      <c r="N427" s="13"/>
      <c r="O427" s="13"/>
      <c r="P427" s="13"/>
      <c r="Q427" s="13"/>
      <c r="R427" s="13"/>
      <c r="S427" s="13"/>
      <c r="T427" s="13"/>
      <c r="U427" s="13"/>
      <c r="V427" s="13"/>
      <c r="W427" s="13"/>
    </row>
    <row r="428" ht="15.75" customHeight="1" spans="1:23">
      <c r="A428" s="13"/>
      <c r="B428" s="13"/>
      <c r="C428" s="13"/>
      <c r="D428" s="13"/>
      <c r="E428" s="13"/>
      <c r="F428" s="13"/>
      <c r="G428" s="13"/>
      <c r="H428" s="13"/>
      <c r="I428" s="13"/>
      <c r="J428" s="13"/>
      <c r="K428" s="13"/>
      <c r="L428" s="13"/>
      <c r="M428" s="13"/>
      <c r="N428" s="13"/>
      <c r="O428" s="13"/>
      <c r="P428" s="13"/>
      <c r="Q428" s="13"/>
      <c r="R428" s="13"/>
      <c r="S428" s="13"/>
      <c r="T428" s="13"/>
      <c r="U428" s="13"/>
      <c r="V428" s="13"/>
      <c r="W428" s="13"/>
    </row>
    <row r="429" ht="15.75" customHeight="1" spans="1:23">
      <c r="A429" s="13"/>
      <c r="B429" s="13"/>
      <c r="C429" s="13"/>
      <c r="D429" s="13"/>
      <c r="E429" s="13"/>
      <c r="F429" s="13"/>
      <c r="G429" s="13"/>
      <c r="H429" s="13"/>
      <c r="I429" s="13"/>
      <c r="J429" s="13"/>
      <c r="K429" s="13"/>
      <c r="L429" s="13"/>
      <c r="M429" s="13"/>
      <c r="N429" s="13"/>
      <c r="O429" s="13"/>
      <c r="P429" s="13"/>
      <c r="Q429" s="13"/>
      <c r="R429" s="13"/>
      <c r="S429" s="13"/>
      <c r="T429" s="13"/>
      <c r="U429" s="13"/>
      <c r="V429" s="13"/>
      <c r="W429" s="13"/>
    </row>
    <row r="430" ht="15.75" customHeight="1" spans="1:23">
      <c r="A430" s="13"/>
      <c r="B430" s="13"/>
      <c r="C430" s="13"/>
      <c r="D430" s="13"/>
      <c r="E430" s="13"/>
      <c r="F430" s="13"/>
      <c r="G430" s="13"/>
      <c r="H430" s="13"/>
      <c r="I430" s="13"/>
      <c r="J430" s="13"/>
      <c r="K430" s="13"/>
      <c r="L430" s="13"/>
      <c r="M430" s="13"/>
      <c r="N430" s="13"/>
      <c r="O430" s="13"/>
      <c r="P430" s="13"/>
      <c r="Q430" s="13"/>
      <c r="R430" s="13"/>
      <c r="S430" s="13"/>
      <c r="T430" s="13"/>
      <c r="U430" s="13"/>
      <c r="V430" s="13"/>
      <c r="W430" s="13"/>
    </row>
    <row r="431" ht="15.75" customHeight="1" spans="1:23">
      <c r="A431" s="13"/>
      <c r="B431" s="13"/>
      <c r="C431" s="13"/>
      <c r="D431" s="13"/>
      <c r="E431" s="13"/>
      <c r="F431" s="13"/>
      <c r="G431" s="13"/>
      <c r="H431" s="13"/>
      <c r="I431" s="13"/>
      <c r="J431" s="13"/>
      <c r="K431" s="13"/>
      <c r="L431" s="13"/>
      <c r="M431" s="13"/>
      <c r="N431" s="13"/>
      <c r="O431" s="13"/>
      <c r="P431" s="13"/>
      <c r="Q431" s="13"/>
      <c r="R431" s="13"/>
      <c r="S431" s="13"/>
      <c r="T431" s="13"/>
      <c r="U431" s="13"/>
      <c r="V431" s="13"/>
      <c r="W431" s="13"/>
    </row>
    <row r="432" ht="15.75" customHeight="1" spans="1:23">
      <c r="A432" s="13"/>
      <c r="B432" s="13"/>
      <c r="C432" s="13"/>
      <c r="D432" s="13"/>
      <c r="E432" s="13"/>
      <c r="F432" s="13"/>
      <c r="G432" s="13"/>
      <c r="H432" s="13"/>
      <c r="I432" s="13"/>
      <c r="J432" s="13"/>
      <c r="K432" s="13"/>
      <c r="L432" s="13"/>
      <c r="M432" s="13"/>
      <c r="N432" s="13"/>
      <c r="O432" s="13"/>
      <c r="P432" s="13"/>
      <c r="Q432" s="13"/>
      <c r="R432" s="13"/>
      <c r="S432" s="13"/>
      <c r="T432" s="13"/>
      <c r="U432" s="13"/>
      <c r="V432" s="13"/>
      <c r="W432" s="13"/>
    </row>
    <row r="433" ht="15.75" customHeight="1" spans="1:23">
      <c r="A433" s="13"/>
      <c r="B433" s="13"/>
      <c r="C433" s="13"/>
      <c r="D433" s="13"/>
      <c r="E433" s="13"/>
      <c r="F433" s="13"/>
      <c r="G433" s="13"/>
      <c r="H433" s="13"/>
      <c r="I433" s="13"/>
      <c r="J433" s="13"/>
      <c r="K433" s="13"/>
      <c r="L433" s="13"/>
      <c r="M433" s="13"/>
      <c r="N433" s="13"/>
      <c r="O433" s="13"/>
      <c r="P433" s="13"/>
      <c r="Q433" s="13"/>
      <c r="R433" s="13"/>
      <c r="S433" s="13"/>
      <c r="T433" s="13"/>
      <c r="U433" s="13"/>
      <c r="V433" s="13"/>
      <c r="W433" s="13"/>
    </row>
    <row r="434" ht="15.75" customHeight="1" spans="1:23">
      <c r="A434" s="13"/>
      <c r="B434" s="13"/>
      <c r="C434" s="13"/>
      <c r="D434" s="13"/>
      <c r="E434" s="13"/>
      <c r="F434" s="13"/>
      <c r="G434" s="13"/>
      <c r="H434" s="13"/>
      <c r="I434" s="13"/>
      <c r="J434" s="13"/>
      <c r="K434" s="13"/>
      <c r="L434" s="13"/>
      <c r="M434" s="13"/>
      <c r="N434" s="13"/>
      <c r="O434" s="13"/>
      <c r="P434" s="13"/>
      <c r="Q434" s="13"/>
      <c r="R434" s="13"/>
      <c r="S434" s="13"/>
      <c r="T434" s="13"/>
      <c r="U434" s="13"/>
      <c r="V434" s="13"/>
      <c r="W434" s="13"/>
    </row>
    <row r="435" ht="15.75" customHeight="1" spans="1:23">
      <c r="A435" s="13"/>
      <c r="B435" s="13"/>
      <c r="C435" s="13"/>
      <c r="D435" s="13"/>
      <c r="E435" s="13"/>
      <c r="F435" s="13"/>
      <c r="G435" s="13"/>
      <c r="H435" s="13"/>
      <c r="I435" s="13"/>
      <c r="J435" s="13"/>
      <c r="K435" s="13"/>
      <c r="L435" s="13"/>
      <c r="M435" s="13"/>
      <c r="N435" s="13"/>
      <c r="O435" s="13"/>
      <c r="P435" s="13"/>
      <c r="Q435" s="13"/>
      <c r="R435" s="13"/>
      <c r="S435" s="13"/>
      <c r="T435" s="13"/>
      <c r="U435" s="13"/>
      <c r="V435" s="13"/>
      <c r="W435" s="13"/>
    </row>
    <row r="436" ht="15.75" customHeight="1" spans="1:23">
      <c r="A436" s="13"/>
      <c r="B436" s="13"/>
      <c r="C436" s="13"/>
      <c r="D436" s="13"/>
      <c r="E436" s="13"/>
      <c r="F436" s="13"/>
      <c r="G436" s="13"/>
      <c r="H436" s="13"/>
      <c r="I436" s="13"/>
      <c r="J436" s="13"/>
      <c r="K436" s="13"/>
      <c r="L436" s="13"/>
      <c r="M436" s="13"/>
      <c r="N436" s="13"/>
      <c r="O436" s="13"/>
      <c r="P436" s="13"/>
      <c r="Q436" s="13"/>
      <c r="R436" s="13"/>
      <c r="S436" s="13"/>
      <c r="T436" s="13"/>
      <c r="U436" s="13"/>
      <c r="V436" s="13"/>
      <c r="W436" s="13"/>
    </row>
    <row r="437" ht="15.75" customHeight="1" spans="1:23">
      <c r="A437" s="13"/>
      <c r="B437" s="13"/>
      <c r="C437" s="13"/>
      <c r="D437" s="13"/>
      <c r="E437" s="13"/>
      <c r="F437" s="13"/>
      <c r="G437" s="13"/>
      <c r="H437" s="13"/>
      <c r="I437" s="13"/>
      <c r="J437" s="13"/>
      <c r="K437" s="13"/>
      <c r="L437" s="13"/>
      <c r="M437" s="13"/>
      <c r="N437" s="13"/>
      <c r="O437" s="13"/>
      <c r="P437" s="13"/>
      <c r="Q437" s="13"/>
      <c r="R437" s="13"/>
      <c r="S437" s="13"/>
      <c r="T437" s="13"/>
      <c r="U437" s="13"/>
      <c r="V437" s="13"/>
      <c r="W437" s="13"/>
    </row>
    <row r="438" ht="15.75" customHeight="1" spans="1:23">
      <c r="A438" s="13"/>
      <c r="B438" s="13"/>
      <c r="C438" s="13"/>
      <c r="D438" s="13"/>
      <c r="E438" s="13"/>
      <c r="F438" s="13"/>
      <c r="G438" s="13"/>
      <c r="H438" s="13"/>
      <c r="I438" s="13"/>
      <c r="J438" s="13"/>
      <c r="K438" s="13"/>
      <c r="L438" s="13"/>
      <c r="M438" s="13"/>
      <c r="N438" s="13"/>
      <c r="O438" s="13"/>
      <c r="P438" s="13"/>
      <c r="Q438" s="13"/>
      <c r="R438" s="13"/>
      <c r="S438" s="13"/>
      <c r="T438" s="13"/>
      <c r="U438" s="13"/>
      <c r="V438" s="13"/>
      <c r="W438" s="13"/>
    </row>
    <row r="439" ht="15.75" customHeight="1" spans="1:23">
      <c r="A439" s="13"/>
      <c r="B439" s="13"/>
      <c r="C439" s="13"/>
      <c r="D439" s="13"/>
      <c r="E439" s="13"/>
      <c r="F439" s="13"/>
      <c r="G439" s="13"/>
      <c r="H439" s="13"/>
      <c r="I439" s="13"/>
      <c r="J439" s="13"/>
      <c r="K439" s="13"/>
      <c r="L439" s="13"/>
      <c r="M439" s="13"/>
      <c r="N439" s="13"/>
      <c r="O439" s="13"/>
      <c r="P439" s="13"/>
      <c r="Q439" s="13"/>
      <c r="R439" s="13"/>
      <c r="S439" s="13"/>
      <c r="T439" s="13"/>
      <c r="U439" s="13"/>
      <c r="V439" s="13"/>
      <c r="W439" s="13"/>
    </row>
    <row r="440" ht="15.75" customHeight="1" spans="1:23">
      <c r="A440" s="13"/>
      <c r="B440" s="13"/>
      <c r="C440" s="13"/>
      <c r="D440" s="13"/>
      <c r="E440" s="13"/>
      <c r="F440" s="13"/>
      <c r="G440" s="13"/>
      <c r="H440" s="13"/>
      <c r="I440" s="13"/>
      <c r="J440" s="13"/>
      <c r="K440" s="13"/>
      <c r="L440" s="13"/>
      <c r="M440" s="13"/>
      <c r="N440" s="13"/>
      <c r="O440" s="13"/>
      <c r="P440" s="13"/>
      <c r="Q440" s="13"/>
      <c r="R440" s="13"/>
      <c r="S440" s="13"/>
      <c r="T440" s="13"/>
      <c r="U440" s="13"/>
      <c r="V440" s="13"/>
      <c r="W440" s="13"/>
    </row>
    <row r="441" ht="15.75" customHeight="1" spans="1:23">
      <c r="A441" s="13"/>
      <c r="B441" s="13"/>
      <c r="C441" s="13"/>
      <c r="D441" s="13"/>
      <c r="E441" s="13"/>
      <c r="F441" s="13"/>
      <c r="G441" s="13"/>
      <c r="H441" s="13"/>
      <c r="I441" s="13"/>
      <c r="J441" s="13"/>
      <c r="K441" s="13"/>
      <c r="L441" s="13"/>
      <c r="M441" s="13"/>
      <c r="N441" s="13"/>
      <c r="O441" s="13"/>
      <c r="P441" s="13"/>
      <c r="Q441" s="13"/>
      <c r="R441" s="13"/>
      <c r="S441" s="13"/>
      <c r="T441" s="13"/>
      <c r="U441" s="13"/>
      <c r="V441" s="13"/>
      <c r="W441" s="13"/>
    </row>
    <row r="442" ht="15.75" customHeight="1" spans="1:23">
      <c r="A442" s="13"/>
      <c r="B442" s="13"/>
      <c r="C442" s="13"/>
      <c r="D442" s="13"/>
      <c r="E442" s="13"/>
      <c r="F442" s="13"/>
      <c r="G442" s="13"/>
      <c r="H442" s="13"/>
      <c r="I442" s="13"/>
      <c r="J442" s="13"/>
      <c r="K442" s="13"/>
      <c r="L442" s="13"/>
      <c r="M442" s="13"/>
      <c r="N442" s="13"/>
      <c r="O442" s="13"/>
      <c r="P442" s="13"/>
      <c r="Q442" s="13"/>
      <c r="R442" s="13"/>
      <c r="S442" s="13"/>
      <c r="T442" s="13"/>
      <c r="U442" s="13"/>
      <c r="V442" s="13"/>
      <c r="W442" s="13"/>
    </row>
    <row r="443" ht="15.75" customHeight="1" spans="1:23">
      <c r="A443" s="13"/>
      <c r="B443" s="13"/>
      <c r="C443" s="13"/>
      <c r="D443" s="13"/>
      <c r="E443" s="13"/>
      <c r="F443" s="13"/>
      <c r="G443" s="13"/>
      <c r="H443" s="13"/>
      <c r="I443" s="13"/>
      <c r="J443" s="13"/>
      <c r="K443" s="13"/>
      <c r="L443" s="13"/>
      <c r="M443" s="13"/>
      <c r="N443" s="13"/>
      <c r="O443" s="13"/>
      <c r="P443" s="13"/>
      <c r="Q443" s="13"/>
      <c r="R443" s="13"/>
      <c r="S443" s="13"/>
      <c r="T443" s="13"/>
      <c r="U443" s="13"/>
      <c r="V443" s="13"/>
      <c r="W443" s="13"/>
    </row>
    <row r="444" ht="15.75" customHeight="1" spans="1:23">
      <c r="A444" s="13"/>
      <c r="B444" s="13"/>
      <c r="C444" s="13"/>
      <c r="D444" s="13"/>
      <c r="E444" s="13"/>
      <c r="F444" s="13"/>
      <c r="G444" s="13"/>
      <c r="H444" s="13"/>
      <c r="I444" s="13"/>
      <c r="J444" s="13"/>
      <c r="K444" s="13"/>
      <c r="L444" s="13"/>
      <c r="M444" s="13"/>
      <c r="N444" s="13"/>
      <c r="O444" s="13"/>
      <c r="P444" s="13"/>
      <c r="Q444" s="13"/>
      <c r="R444" s="13"/>
      <c r="S444" s="13"/>
      <c r="T444" s="13"/>
      <c r="U444" s="13"/>
      <c r="V444" s="13"/>
      <c r="W444" s="13"/>
    </row>
    <row r="445" ht="15.75" customHeight="1" spans="1:23">
      <c r="A445" s="13"/>
      <c r="B445" s="13"/>
      <c r="C445" s="13"/>
      <c r="D445" s="13"/>
      <c r="E445" s="13"/>
      <c r="F445" s="13"/>
      <c r="G445" s="13"/>
      <c r="H445" s="13"/>
      <c r="I445" s="13"/>
      <c r="J445" s="13"/>
      <c r="K445" s="13"/>
      <c r="L445" s="13"/>
      <c r="M445" s="13"/>
      <c r="N445" s="13"/>
      <c r="O445" s="13"/>
      <c r="P445" s="13"/>
      <c r="Q445" s="13"/>
      <c r="R445" s="13"/>
      <c r="S445" s="13"/>
      <c r="T445" s="13"/>
      <c r="U445" s="13"/>
      <c r="V445" s="13"/>
      <c r="W445" s="13"/>
    </row>
    <row r="446" ht="15.75" customHeight="1" spans="1:23">
      <c r="A446" s="13"/>
      <c r="B446" s="13"/>
      <c r="C446" s="13"/>
      <c r="D446" s="13"/>
      <c r="E446" s="13"/>
      <c r="F446" s="13"/>
      <c r="G446" s="13"/>
      <c r="H446" s="13"/>
      <c r="I446" s="13"/>
      <c r="J446" s="13"/>
      <c r="K446" s="13"/>
      <c r="L446" s="13"/>
      <c r="M446" s="13"/>
      <c r="N446" s="13"/>
      <c r="O446" s="13"/>
      <c r="P446" s="13"/>
      <c r="Q446" s="13"/>
      <c r="R446" s="13"/>
      <c r="S446" s="13"/>
      <c r="T446" s="13"/>
      <c r="U446" s="13"/>
      <c r="V446" s="13"/>
      <c r="W446" s="13"/>
    </row>
    <row r="447" ht="15.75" customHeight="1" spans="1:23">
      <c r="A447" s="13"/>
      <c r="B447" s="13"/>
      <c r="C447" s="13"/>
      <c r="D447" s="13"/>
      <c r="E447" s="13"/>
      <c r="F447" s="13"/>
      <c r="G447" s="13"/>
      <c r="H447" s="13"/>
      <c r="I447" s="13"/>
      <c r="J447" s="13"/>
      <c r="K447" s="13"/>
      <c r="L447" s="13"/>
      <c r="M447" s="13"/>
      <c r="N447" s="13"/>
      <c r="O447" s="13"/>
      <c r="P447" s="13"/>
      <c r="Q447" s="13"/>
      <c r="R447" s="13"/>
      <c r="S447" s="13"/>
      <c r="T447" s="13"/>
      <c r="U447" s="13"/>
      <c r="V447" s="13"/>
      <c r="W447" s="13"/>
    </row>
    <row r="448" ht="15.75" customHeight="1" spans="1:23">
      <c r="A448" s="13"/>
      <c r="B448" s="13"/>
      <c r="C448" s="13"/>
      <c r="D448" s="13"/>
      <c r="E448" s="13"/>
      <c r="F448" s="13"/>
      <c r="G448" s="13"/>
      <c r="H448" s="13"/>
      <c r="I448" s="13"/>
      <c r="J448" s="13"/>
      <c r="K448" s="13"/>
      <c r="L448" s="13"/>
      <c r="M448" s="13"/>
      <c r="N448" s="13"/>
      <c r="O448" s="13"/>
      <c r="P448" s="13"/>
      <c r="Q448" s="13"/>
      <c r="R448" s="13"/>
      <c r="S448" s="13"/>
      <c r="T448" s="13"/>
      <c r="U448" s="13"/>
      <c r="V448" s="13"/>
      <c r="W448" s="13"/>
    </row>
    <row r="449" ht="15.75" customHeight="1" spans="1:23">
      <c r="A449" s="13"/>
      <c r="B449" s="13"/>
      <c r="C449" s="13"/>
      <c r="D449" s="13"/>
      <c r="E449" s="13"/>
      <c r="F449" s="13"/>
      <c r="G449" s="13"/>
      <c r="H449" s="13"/>
      <c r="I449" s="13"/>
      <c r="J449" s="13"/>
      <c r="K449" s="13"/>
      <c r="L449" s="13"/>
      <c r="M449" s="13"/>
      <c r="N449" s="13"/>
      <c r="O449" s="13"/>
      <c r="P449" s="13"/>
      <c r="Q449" s="13"/>
      <c r="R449" s="13"/>
      <c r="S449" s="13"/>
      <c r="T449" s="13"/>
      <c r="U449" s="13"/>
      <c r="V449" s="13"/>
      <c r="W449" s="13"/>
    </row>
    <row r="450" ht="15.75" customHeight="1" spans="1:23">
      <c r="A450" s="13"/>
      <c r="B450" s="13"/>
      <c r="C450" s="13"/>
      <c r="D450" s="13"/>
      <c r="E450" s="13"/>
      <c r="F450" s="13"/>
      <c r="G450" s="13"/>
      <c r="H450" s="13"/>
      <c r="I450" s="13"/>
      <c r="J450" s="13"/>
      <c r="K450" s="13"/>
      <c r="L450" s="13"/>
      <c r="M450" s="13"/>
      <c r="N450" s="13"/>
      <c r="O450" s="13"/>
      <c r="P450" s="13"/>
      <c r="Q450" s="13"/>
      <c r="R450" s="13"/>
      <c r="S450" s="13"/>
      <c r="T450" s="13"/>
      <c r="U450" s="13"/>
      <c r="V450" s="13"/>
      <c r="W450" s="13"/>
    </row>
    <row r="451" ht="15.75" customHeight="1" spans="1:23">
      <c r="A451" s="13"/>
      <c r="B451" s="13"/>
      <c r="C451" s="13"/>
      <c r="D451" s="13"/>
      <c r="E451" s="13"/>
      <c r="F451" s="13"/>
      <c r="G451" s="13"/>
      <c r="H451" s="13"/>
      <c r="I451" s="13"/>
      <c r="J451" s="13"/>
      <c r="K451" s="13"/>
      <c r="L451" s="13"/>
      <c r="M451" s="13"/>
      <c r="N451" s="13"/>
      <c r="O451" s="13"/>
      <c r="P451" s="13"/>
      <c r="Q451" s="13"/>
      <c r="R451" s="13"/>
      <c r="S451" s="13"/>
      <c r="T451" s="13"/>
      <c r="U451" s="13"/>
      <c r="V451" s="13"/>
      <c r="W451" s="13"/>
    </row>
    <row r="452" ht="15.75" customHeight="1" spans="1:23">
      <c r="A452" s="13"/>
      <c r="B452" s="13"/>
      <c r="C452" s="13"/>
      <c r="D452" s="13"/>
      <c r="E452" s="13"/>
      <c r="F452" s="13"/>
      <c r="G452" s="13"/>
      <c r="H452" s="13"/>
      <c r="I452" s="13"/>
      <c r="J452" s="13"/>
      <c r="K452" s="13"/>
      <c r="L452" s="13"/>
      <c r="M452" s="13"/>
      <c r="N452" s="13"/>
      <c r="O452" s="13"/>
      <c r="P452" s="13"/>
      <c r="Q452" s="13"/>
      <c r="R452" s="13"/>
      <c r="S452" s="13"/>
      <c r="T452" s="13"/>
      <c r="U452" s="13"/>
      <c r="V452" s="13"/>
      <c r="W452" s="13"/>
    </row>
    <row r="453" ht="15.75" customHeight="1" spans="1:23">
      <c r="A453" s="13"/>
      <c r="B453" s="13"/>
      <c r="C453" s="13"/>
      <c r="D453" s="13"/>
      <c r="E453" s="13"/>
      <c r="F453" s="13"/>
      <c r="G453" s="13"/>
      <c r="H453" s="13"/>
      <c r="I453" s="13"/>
      <c r="J453" s="13"/>
      <c r="K453" s="13"/>
      <c r="L453" s="13"/>
      <c r="M453" s="13"/>
      <c r="N453" s="13"/>
      <c r="O453" s="13"/>
      <c r="P453" s="13"/>
      <c r="Q453" s="13"/>
      <c r="R453" s="13"/>
      <c r="S453" s="13"/>
      <c r="T453" s="13"/>
      <c r="U453" s="13"/>
      <c r="V453" s="13"/>
      <c r="W453" s="13"/>
    </row>
    <row r="454" ht="15.75" customHeight="1" spans="1:23">
      <c r="A454" s="13"/>
      <c r="B454" s="13"/>
      <c r="C454" s="13"/>
      <c r="D454" s="13"/>
      <c r="E454" s="13"/>
      <c r="F454" s="13"/>
      <c r="G454" s="13"/>
      <c r="H454" s="13"/>
      <c r="I454" s="13"/>
      <c r="J454" s="13"/>
      <c r="K454" s="13"/>
      <c r="L454" s="13"/>
      <c r="M454" s="13"/>
      <c r="N454" s="13"/>
      <c r="O454" s="13"/>
      <c r="P454" s="13"/>
      <c r="Q454" s="13"/>
      <c r="R454" s="13"/>
      <c r="S454" s="13"/>
      <c r="T454" s="13"/>
      <c r="U454" s="13"/>
      <c r="V454" s="13"/>
      <c r="W454" s="13"/>
    </row>
    <row r="455" ht="15.75" customHeight="1" spans="1:23">
      <c r="A455" s="13"/>
      <c r="B455" s="13"/>
      <c r="C455" s="13"/>
      <c r="D455" s="13"/>
      <c r="E455" s="13"/>
      <c r="F455" s="13"/>
      <c r="G455" s="13"/>
      <c r="H455" s="13"/>
      <c r="I455" s="13"/>
      <c r="J455" s="13"/>
      <c r="K455" s="13"/>
      <c r="L455" s="13"/>
      <c r="M455" s="13"/>
      <c r="N455" s="13"/>
      <c r="O455" s="13"/>
      <c r="P455" s="13"/>
      <c r="Q455" s="13"/>
      <c r="R455" s="13"/>
      <c r="S455" s="13"/>
      <c r="T455" s="13"/>
      <c r="U455" s="13"/>
      <c r="V455" s="13"/>
      <c r="W455" s="13"/>
    </row>
    <row r="456" ht="15.75" customHeight="1" spans="1:23">
      <c r="A456" s="13"/>
      <c r="B456" s="13"/>
      <c r="C456" s="13"/>
      <c r="D456" s="13"/>
      <c r="E456" s="13"/>
      <c r="F456" s="13"/>
      <c r="G456" s="13"/>
      <c r="H456" s="13"/>
      <c r="I456" s="13"/>
      <c r="J456" s="13"/>
      <c r="K456" s="13"/>
      <c r="L456" s="13"/>
      <c r="M456" s="13"/>
      <c r="N456" s="13"/>
      <c r="O456" s="13"/>
      <c r="P456" s="13"/>
      <c r="Q456" s="13"/>
      <c r="R456" s="13"/>
      <c r="S456" s="13"/>
      <c r="T456" s="13"/>
      <c r="U456" s="13"/>
      <c r="V456" s="13"/>
      <c r="W456" s="13"/>
    </row>
    <row r="457" ht="15.75" customHeight="1" spans="1:23">
      <c r="A457" s="13"/>
      <c r="B457" s="13"/>
      <c r="C457" s="13"/>
      <c r="D457" s="13"/>
      <c r="E457" s="13"/>
      <c r="F457" s="13"/>
      <c r="G457" s="13"/>
      <c r="H457" s="13"/>
      <c r="I457" s="13"/>
      <c r="J457" s="13"/>
      <c r="K457" s="13"/>
      <c r="L457" s="13"/>
      <c r="M457" s="13"/>
      <c r="N457" s="13"/>
      <c r="O457" s="13"/>
      <c r="P457" s="13"/>
      <c r="Q457" s="13"/>
      <c r="R457" s="13"/>
      <c r="S457" s="13"/>
      <c r="T457" s="13"/>
      <c r="U457" s="13"/>
      <c r="V457" s="13"/>
      <c r="W457" s="13"/>
    </row>
    <row r="458" ht="15.75" customHeight="1" spans="1:23">
      <c r="A458" s="13"/>
      <c r="B458" s="13"/>
      <c r="C458" s="13"/>
      <c r="D458" s="13"/>
      <c r="E458" s="13"/>
      <c r="F458" s="13"/>
      <c r="G458" s="13"/>
      <c r="H458" s="13"/>
      <c r="I458" s="13"/>
      <c r="J458" s="13"/>
      <c r="K458" s="13"/>
      <c r="L458" s="13"/>
      <c r="M458" s="13"/>
      <c r="N458" s="13"/>
      <c r="O458" s="13"/>
      <c r="P458" s="13"/>
      <c r="Q458" s="13"/>
      <c r="R458" s="13"/>
      <c r="S458" s="13"/>
      <c r="T458" s="13"/>
      <c r="U458" s="13"/>
      <c r="V458" s="13"/>
      <c r="W458" s="13"/>
    </row>
    <row r="459" ht="15.75" customHeight="1" spans="1:23">
      <c r="A459" s="13"/>
      <c r="B459" s="13"/>
      <c r="C459" s="13"/>
      <c r="D459" s="13"/>
      <c r="E459" s="13"/>
      <c r="F459" s="13"/>
      <c r="G459" s="13"/>
      <c r="H459" s="13"/>
      <c r="I459" s="13"/>
      <c r="J459" s="13"/>
      <c r="K459" s="13"/>
      <c r="L459" s="13"/>
      <c r="M459" s="13"/>
      <c r="N459" s="13"/>
      <c r="O459" s="13"/>
      <c r="P459" s="13"/>
      <c r="Q459" s="13"/>
      <c r="R459" s="13"/>
      <c r="S459" s="13"/>
      <c r="T459" s="13"/>
      <c r="U459" s="13"/>
      <c r="V459" s="13"/>
      <c r="W459" s="13"/>
    </row>
    <row r="460" ht="15.75" customHeight="1" spans="1:23">
      <c r="A460" s="13"/>
      <c r="B460" s="13"/>
      <c r="C460" s="13"/>
      <c r="D460" s="13"/>
      <c r="E460" s="13"/>
      <c r="F460" s="13"/>
      <c r="G460" s="13"/>
      <c r="H460" s="13"/>
      <c r="I460" s="13"/>
      <c r="J460" s="13"/>
      <c r="K460" s="13"/>
      <c r="L460" s="13"/>
      <c r="M460" s="13"/>
      <c r="N460" s="13"/>
      <c r="O460" s="13"/>
      <c r="P460" s="13"/>
      <c r="Q460" s="13"/>
      <c r="R460" s="13"/>
      <c r="S460" s="13"/>
      <c r="T460" s="13"/>
      <c r="U460" s="13"/>
      <c r="V460" s="13"/>
      <c r="W460" s="13"/>
    </row>
    <row r="461" ht="15.75" customHeight="1" spans="1:23">
      <c r="A461" s="13"/>
      <c r="B461" s="13"/>
      <c r="C461" s="13"/>
      <c r="D461" s="13"/>
      <c r="E461" s="13"/>
      <c r="F461" s="13"/>
      <c r="G461" s="13"/>
      <c r="H461" s="13"/>
      <c r="I461" s="13"/>
      <c r="J461" s="13"/>
      <c r="K461" s="13"/>
      <c r="L461" s="13"/>
      <c r="M461" s="13"/>
      <c r="N461" s="13"/>
      <c r="O461" s="13"/>
      <c r="P461" s="13"/>
      <c r="Q461" s="13"/>
      <c r="R461" s="13"/>
      <c r="S461" s="13"/>
      <c r="T461" s="13"/>
      <c r="U461" s="13"/>
      <c r="V461" s="13"/>
      <c r="W461" s="13"/>
    </row>
    <row r="462" ht="15.75" customHeight="1" spans="1:23">
      <c r="A462" s="13"/>
      <c r="B462" s="13"/>
      <c r="C462" s="13"/>
      <c r="D462" s="13"/>
      <c r="E462" s="13"/>
      <c r="F462" s="13"/>
      <c r="G462" s="13"/>
      <c r="H462" s="13"/>
      <c r="I462" s="13"/>
      <c r="J462" s="13"/>
      <c r="K462" s="13"/>
      <c r="L462" s="13"/>
      <c r="M462" s="13"/>
      <c r="N462" s="13"/>
      <c r="O462" s="13"/>
      <c r="P462" s="13"/>
      <c r="Q462" s="13"/>
      <c r="R462" s="13"/>
      <c r="S462" s="13"/>
      <c r="T462" s="13"/>
      <c r="U462" s="13"/>
      <c r="V462" s="13"/>
      <c r="W462" s="13"/>
    </row>
    <row r="463" ht="15.75" customHeight="1" spans="1:23">
      <c r="A463" s="13"/>
      <c r="B463" s="13"/>
      <c r="C463" s="13"/>
      <c r="D463" s="13"/>
      <c r="E463" s="13"/>
      <c r="F463" s="13"/>
      <c r="G463" s="13"/>
      <c r="H463" s="13"/>
      <c r="I463" s="13"/>
      <c r="J463" s="13"/>
      <c r="K463" s="13"/>
      <c r="L463" s="13"/>
      <c r="M463" s="13"/>
      <c r="N463" s="13"/>
      <c r="O463" s="13"/>
      <c r="P463" s="13"/>
      <c r="Q463" s="13"/>
      <c r="R463" s="13"/>
      <c r="S463" s="13"/>
      <c r="T463" s="13"/>
      <c r="U463" s="13"/>
      <c r="V463" s="13"/>
      <c r="W463" s="13"/>
    </row>
    <row r="464" ht="15.75" customHeight="1" spans="1:23">
      <c r="A464" s="13"/>
      <c r="B464" s="13"/>
      <c r="C464" s="13"/>
      <c r="D464" s="13"/>
      <c r="E464" s="13"/>
      <c r="F464" s="13"/>
      <c r="G464" s="13"/>
      <c r="H464" s="13"/>
      <c r="I464" s="13"/>
      <c r="J464" s="13"/>
      <c r="K464" s="13"/>
      <c r="L464" s="13"/>
      <c r="M464" s="13"/>
      <c r="N464" s="13"/>
      <c r="O464" s="13"/>
      <c r="P464" s="13"/>
      <c r="Q464" s="13"/>
      <c r="R464" s="13"/>
      <c r="S464" s="13"/>
      <c r="T464" s="13"/>
      <c r="U464" s="13"/>
      <c r="V464" s="13"/>
      <c r="W464" s="13"/>
    </row>
    <row r="465" ht="15.75" customHeight="1" spans="1:23">
      <c r="A465" s="13"/>
      <c r="B465" s="13"/>
      <c r="C465" s="13"/>
      <c r="D465" s="13"/>
      <c r="E465" s="13"/>
      <c r="F465" s="13"/>
      <c r="G465" s="13"/>
      <c r="H465" s="13"/>
      <c r="I465" s="13"/>
      <c r="J465" s="13"/>
      <c r="K465" s="13"/>
      <c r="L465" s="13"/>
      <c r="M465" s="13"/>
      <c r="N465" s="13"/>
      <c r="O465" s="13"/>
      <c r="P465" s="13"/>
      <c r="Q465" s="13"/>
      <c r="R465" s="13"/>
      <c r="S465" s="13"/>
      <c r="T465" s="13"/>
      <c r="U465" s="13"/>
      <c r="V465" s="13"/>
      <c r="W465" s="13"/>
    </row>
    <row r="466" ht="15.75" customHeight="1" spans="1:23">
      <c r="A466" s="13"/>
      <c r="B466" s="13"/>
      <c r="C466" s="13"/>
      <c r="D466" s="13"/>
      <c r="E466" s="13"/>
      <c r="F466" s="13"/>
      <c r="G466" s="13"/>
      <c r="H466" s="13"/>
      <c r="I466" s="13"/>
      <c r="J466" s="13"/>
      <c r="K466" s="13"/>
      <c r="L466" s="13"/>
      <c r="M466" s="13"/>
      <c r="N466" s="13"/>
      <c r="O466" s="13"/>
      <c r="P466" s="13"/>
      <c r="Q466" s="13"/>
      <c r="R466" s="13"/>
      <c r="S466" s="13"/>
      <c r="T466" s="13"/>
      <c r="U466" s="13"/>
      <c r="V466" s="13"/>
      <c r="W466" s="13"/>
    </row>
    <row r="467" ht="15.75" customHeight="1" spans="1:23">
      <c r="A467" s="13"/>
      <c r="B467" s="13"/>
      <c r="C467" s="13"/>
      <c r="D467" s="13"/>
      <c r="E467" s="13"/>
      <c r="F467" s="13"/>
      <c r="G467" s="13"/>
      <c r="H467" s="13"/>
      <c r="I467" s="13"/>
      <c r="J467" s="13"/>
      <c r="K467" s="13"/>
      <c r="L467" s="13"/>
      <c r="M467" s="13"/>
      <c r="N467" s="13"/>
      <c r="O467" s="13"/>
      <c r="P467" s="13"/>
      <c r="Q467" s="13"/>
      <c r="R467" s="13"/>
      <c r="S467" s="13"/>
      <c r="T467" s="13"/>
      <c r="U467" s="13"/>
      <c r="V467" s="13"/>
      <c r="W467" s="13"/>
    </row>
    <row r="468" ht="15.75" customHeight="1" spans="1:23">
      <c r="A468" s="13"/>
      <c r="B468" s="13"/>
      <c r="C468" s="13"/>
      <c r="D468" s="13"/>
      <c r="E468" s="13"/>
      <c r="F468" s="13"/>
      <c r="G468" s="13"/>
      <c r="H468" s="13"/>
      <c r="I468" s="13"/>
      <c r="J468" s="13"/>
      <c r="K468" s="13"/>
      <c r="L468" s="13"/>
      <c r="M468" s="13"/>
      <c r="N468" s="13"/>
      <c r="O468" s="13"/>
      <c r="P468" s="13"/>
      <c r="Q468" s="13"/>
      <c r="R468" s="13"/>
      <c r="S468" s="13"/>
      <c r="T468" s="13"/>
      <c r="U468" s="13"/>
      <c r="V468" s="13"/>
      <c r="W468" s="13"/>
    </row>
    <row r="469" ht="15.75" customHeight="1" spans="1:23">
      <c r="A469" s="13"/>
      <c r="B469" s="13"/>
      <c r="C469" s="13"/>
      <c r="D469" s="13"/>
      <c r="E469" s="13"/>
      <c r="F469" s="13"/>
      <c r="G469" s="13"/>
      <c r="H469" s="13"/>
      <c r="I469" s="13"/>
      <c r="J469" s="13"/>
      <c r="K469" s="13"/>
      <c r="L469" s="13"/>
      <c r="M469" s="13"/>
      <c r="N469" s="13"/>
      <c r="O469" s="13"/>
      <c r="P469" s="13"/>
      <c r="Q469" s="13"/>
      <c r="R469" s="13"/>
      <c r="S469" s="13"/>
      <c r="T469" s="13"/>
      <c r="U469" s="13"/>
      <c r="V469" s="13"/>
      <c r="W469" s="13"/>
    </row>
    <row r="470" ht="15.75" customHeight="1" spans="1:23">
      <c r="A470" s="13"/>
      <c r="B470" s="13"/>
      <c r="C470" s="13"/>
      <c r="D470" s="13"/>
      <c r="E470" s="13"/>
      <c r="F470" s="13"/>
      <c r="G470" s="13"/>
      <c r="H470" s="13"/>
      <c r="I470" s="13"/>
      <c r="J470" s="13"/>
      <c r="K470" s="13"/>
      <c r="L470" s="13"/>
      <c r="M470" s="13"/>
      <c r="N470" s="13"/>
      <c r="O470" s="13"/>
      <c r="P470" s="13"/>
      <c r="Q470" s="13"/>
      <c r="R470" s="13"/>
      <c r="S470" s="13"/>
      <c r="T470" s="13"/>
      <c r="U470" s="13"/>
      <c r="V470" s="13"/>
      <c r="W470" s="13"/>
    </row>
    <row r="471" ht="15.75" customHeight="1" spans="1:23">
      <c r="A471" s="13"/>
      <c r="B471" s="13"/>
      <c r="C471" s="13"/>
      <c r="D471" s="13"/>
      <c r="E471" s="13"/>
      <c r="F471" s="13"/>
      <c r="G471" s="13"/>
      <c r="H471" s="13"/>
      <c r="I471" s="13"/>
      <c r="J471" s="13"/>
      <c r="K471" s="13"/>
      <c r="L471" s="13"/>
      <c r="M471" s="13"/>
      <c r="N471" s="13"/>
      <c r="O471" s="13"/>
      <c r="P471" s="13"/>
      <c r="Q471" s="13"/>
      <c r="R471" s="13"/>
      <c r="S471" s="13"/>
      <c r="T471" s="13"/>
      <c r="U471" s="13"/>
      <c r="V471" s="13"/>
      <c r="W471" s="13"/>
    </row>
    <row r="472" ht="15.75" customHeight="1" spans="1:23">
      <c r="A472" s="13"/>
      <c r="B472" s="13"/>
      <c r="C472" s="13"/>
      <c r="D472" s="13"/>
      <c r="E472" s="13"/>
      <c r="F472" s="13"/>
      <c r="G472" s="13"/>
      <c r="H472" s="13"/>
      <c r="I472" s="13"/>
      <c r="J472" s="13"/>
      <c r="K472" s="13"/>
      <c r="L472" s="13"/>
      <c r="M472" s="13"/>
      <c r="N472" s="13"/>
      <c r="O472" s="13"/>
      <c r="P472" s="13"/>
      <c r="Q472" s="13"/>
      <c r="R472" s="13"/>
      <c r="S472" s="13"/>
      <c r="T472" s="13"/>
      <c r="U472" s="13"/>
      <c r="V472" s="13"/>
      <c r="W472" s="13"/>
    </row>
    <row r="473" ht="15.75" customHeight="1" spans="1:23">
      <c r="A473" s="13"/>
      <c r="B473" s="13"/>
      <c r="C473" s="13"/>
      <c r="D473" s="13"/>
      <c r="E473" s="13"/>
      <c r="F473" s="13"/>
      <c r="G473" s="13"/>
      <c r="H473" s="13"/>
      <c r="I473" s="13"/>
      <c r="J473" s="13"/>
      <c r="K473" s="13"/>
      <c r="L473" s="13"/>
      <c r="M473" s="13"/>
      <c r="N473" s="13"/>
      <c r="O473" s="13"/>
      <c r="P473" s="13"/>
      <c r="Q473" s="13"/>
      <c r="R473" s="13"/>
      <c r="S473" s="13"/>
      <c r="T473" s="13"/>
      <c r="U473" s="13"/>
      <c r="V473" s="13"/>
      <c r="W473" s="13"/>
    </row>
    <row r="474" ht="15.75" customHeight="1" spans="1:23">
      <c r="A474" s="13"/>
      <c r="B474" s="13"/>
      <c r="C474" s="13"/>
      <c r="D474" s="13"/>
      <c r="E474" s="13"/>
      <c r="F474" s="13"/>
      <c r="G474" s="13"/>
      <c r="H474" s="13"/>
      <c r="I474" s="13"/>
      <c r="J474" s="13"/>
      <c r="K474" s="13"/>
      <c r="L474" s="13"/>
      <c r="M474" s="13"/>
      <c r="N474" s="13"/>
      <c r="O474" s="13"/>
      <c r="P474" s="13"/>
      <c r="Q474" s="13"/>
      <c r="R474" s="13"/>
      <c r="S474" s="13"/>
      <c r="T474" s="13"/>
      <c r="U474" s="13"/>
      <c r="V474" s="13"/>
      <c r="W474" s="13"/>
    </row>
    <row r="475" ht="15.75" customHeight="1" spans="1:23">
      <c r="A475" s="13"/>
      <c r="B475" s="13"/>
      <c r="C475" s="13"/>
      <c r="D475" s="13"/>
      <c r="E475" s="13"/>
      <c r="F475" s="13"/>
      <c r="G475" s="13"/>
      <c r="H475" s="13"/>
      <c r="I475" s="13"/>
      <c r="J475" s="13"/>
      <c r="K475" s="13"/>
      <c r="L475" s="13"/>
      <c r="M475" s="13"/>
      <c r="N475" s="13"/>
      <c r="O475" s="13"/>
      <c r="P475" s="13"/>
      <c r="Q475" s="13"/>
      <c r="R475" s="13"/>
      <c r="S475" s="13"/>
      <c r="T475" s="13"/>
      <c r="U475" s="13"/>
      <c r="V475" s="13"/>
      <c r="W475" s="13"/>
    </row>
    <row r="476" ht="15.75" customHeight="1" spans="1:23">
      <c r="A476" s="13"/>
      <c r="B476" s="13"/>
      <c r="C476" s="13"/>
      <c r="D476" s="13"/>
      <c r="E476" s="13"/>
      <c r="F476" s="13"/>
      <c r="G476" s="13"/>
      <c r="H476" s="13"/>
      <c r="I476" s="13"/>
      <c r="J476" s="13"/>
      <c r="K476" s="13"/>
      <c r="L476" s="13"/>
      <c r="M476" s="13"/>
      <c r="N476" s="13"/>
      <c r="O476" s="13"/>
      <c r="P476" s="13"/>
      <c r="Q476" s="13"/>
      <c r="R476" s="13"/>
      <c r="S476" s="13"/>
      <c r="T476" s="13"/>
      <c r="U476" s="13"/>
      <c r="V476" s="13"/>
      <c r="W476" s="13"/>
    </row>
    <row r="477" ht="15.75" customHeight="1" spans="1:23">
      <c r="A477" s="13"/>
      <c r="B477" s="13"/>
      <c r="C477" s="13"/>
      <c r="D477" s="13"/>
      <c r="E477" s="13"/>
      <c r="F477" s="13"/>
      <c r="G477" s="13"/>
      <c r="H477" s="13"/>
      <c r="I477" s="13"/>
      <c r="J477" s="13"/>
      <c r="K477" s="13"/>
      <c r="L477" s="13"/>
      <c r="M477" s="13"/>
      <c r="N477" s="13"/>
      <c r="O477" s="13"/>
      <c r="P477" s="13"/>
      <c r="Q477" s="13"/>
      <c r="R477" s="13"/>
      <c r="S477" s="13"/>
      <c r="T477" s="13"/>
      <c r="U477" s="13"/>
      <c r="V477" s="13"/>
      <c r="W477" s="13"/>
    </row>
    <row r="478" ht="15.75" customHeight="1" spans="1:23">
      <c r="A478" s="13"/>
      <c r="B478" s="13"/>
      <c r="C478" s="13"/>
      <c r="D478" s="13"/>
      <c r="E478" s="13"/>
      <c r="F478" s="13"/>
      <c r="G478" s="13"/>
      <c r="H478" s="13"/>
      <c r="I478" s="13"/>
      <c r="J478" s="13"/>
      <c r="K478" s="13"/>
      <c r="L478" s="13"/>
      <c r="M478" s="13"/>
      <c r="N478" s="13"/>
      <c r="O478" s="13"/>
      <c r="P478" s="13"/>
      <c r="Q478" s="13"/>
      <c r="R478" s="13"/>
      <c r="S478" s="13"/>
      <c r="T478" s="13"/>
      <c r="U478" s="13"/>
      <c r="V478" s="13"/>
      <c r="W478" s="13"/>
    </row>
    <row r="479" ht="15.75" customHeight="1" spans="1:23">
      <c r="A479" s="13"/>
      <c r="B479" s="13"/>
      <c r="C479" s="13"/>
      <c r="D479" s="13"/>
      <c r="E479" s="13"/>
      <c r="F479" s="13"/>
      <c r="G479" s="13"/>
      <c r="H479" s="13"/>
      <c r="I479" s="13"/>
      <c r="J479" s="13"/>
      <c r="K479" s="13"/>
      <c r="L479" s="13"/>
      <c r="M479" s="13"/>
      <c r="N479" s="13"/>
      <c r="O479" s="13"/>
      <c r="P479" s="13"/>
      <c r="Q479" s="13"/>
      <c r="R479" s="13"/>
      <c r="S479" s="13"/>
      <c r="T479" s="13"/>
      <c r="U479" s="13"/>
      <c r="V479" s="13"/>
      <c r="W479" s="13"/>
    </row>
    <row r="480" ht="15.75" customHeight="1" spans="1:23">
      <c r="A480" s="13"/>
      <c r="B480" s="13"/>
      <c r="C480" s="13"/>
      <c r="D480" s="13"/>
      <c r="E480" s="13"/>
      <c r="F480" s="13"/>
      <c r="G480" s="13"/>
      <c r="H480" s="13"/>
      <c r="I480" s="13"/>
      <c r="J480" s="13"/>
      <c r="K480" s="13"/>
      <c r="L480" s="13"/>
      <c r="M480" s="13"/>
      <c r="N480" s="13"/>
      <c r="O480" s="13"/>
      <c r="P480" s="13"/>
      <c r="Q480" s="13"/>
      <c r="R480" s="13"/>
      <c r="S480" s="13"/>
      <c r="T480" s="13"/>
      <c r="U480" s="13"/>
      <c r="V480" s="13"/>
      <c r="W480" s="13"/>
    </row>
    <row r="481" ht="15.75" customHeight="1" spans="1:23">
      <c r="A481" s="13"/>
      <c r="B481" s="13"/>
      <c r="C481" s="13"/>
      <c r="D481" s="13"/>
      <c r="E481" s="13"/>
      <c r="F481" s="13"/>
      <c r="G481" s="13"/>
      <c r="H481" s="13"/>
      <c r="I481" s="13"/>
      <c r="J481" s="13"/>
      <c r="K481" s="13"/>
      <c r="L481" s="13"/>
      <c r="M481" s="13"/>
      <c r="N481" s="13"/>
      <c r="O481" s="13"/>
      <c r="P481" s="13"/>
      <c r="Q481" s="13"/>
      <c r="R481" s="13"/>
      <c r="S481" s="13"/>
      <c r="T481" s="13"/>
      <c r="U481" s="13"/>
      <c r="V481" s="13"/>
      <c r="W481" s="13"/>
    </row>
    <row r="482" ht="15.75" customHeight="1" spans="1:23">
      <c r="A482" s="13"/>
      <c r="B482" s="13"/>
      <c r="C482" s="13"/>
      <c r="D482" s="13"/>
      <c r="E482" s="13"/>
      <c r="F482" s="13"/>
      <c r="G482" s="13"/>
      <c r="H482" s="13"/>
      <c r="I482" s="13"/>
      <c r="J482" s="13"/>
      <c r="K482" s="13"/>
      <c r="L482" s="13"/>
      <c r="M482" s="13"/>
      <c r="N482" s="13"/>
      <c r="O482" s="13"/>
      <c r="P482" s="13"/>
      <c r="Q482" s="13"/>
      <c r="R482" s="13"/>
      <c r="S482" s="13"/>
      <c r="T482" s="13"/>
      <c r="U482" s="13"/>
      <c r="V482" s="13"/>
      <c r="W482" s="13"/>
    </row>
    <row r="483" ht="15.75" customHeight="1" spans="1:23">
      <c r="A483" s="13"/>
      <c r="B483" s="13"/>
      <c r="C483" s="13"/>
      <c r="D483" s="13"/>
      <c r="E483" s="13"/>
      <c r="F483" s="13"/>
      <c r="G483" s="13"/>
      <c r="H483" s="13"/>
      <c r="I483" s="13"/>
      <c r="J483" s="13"/>
      <c r="K483" s="13"/>
      <c r="L483" s="13"/>
      <c r="M483" s="13"/>
      <c r="N483" s="13"/>
      <c r="O483" s="13"/>
      <c r="P483" s="13"/>
      <c r="Q483" s="13"/>
      <c r="R483" s="13"/>
      <c r="S483" s="13"/>
      <c r="T483" s="13"/>
      <c r="U483" s="13"/>
      <c r="V483" s="13"/>
      <c r="W483" s="13"/>
    </row>
    <row r="484" ht="15.75" customHeight="1" spans="1:23">
      <c r="A484" s="13"/>
      <c r="B484" s="13"/>
      <c r="C484" s="13"/>
      <c r="D484" s="13"/>
      <c r="E484" s="13"/>
      <c r="F484" s="13"/>
      <c r="G484" s="13"/>
      <c r="H484" s="13"/>
      <c r="I484" s="13"/>
      <c r="J484" s="13"/>
      <c r="K484" s="13"/>
      <c r="L484" s="13"/>
      <c r="M484" s="13"/>
      <c r="N484" s="13"/>
      <c r="O484" s="13"/>
      <c r="P484" s="13"/>
      <c r="Q484" s="13"/>
      <c r="R484" s="13"/>
      <c r="S484" s="13"/>
      <c r="T484" s="13"/>
      <c r="U484" s="13"/>
      <c r="V484" s="13"/>
      <c r="W484" s="13"/>
    </row>
    <row r="485" ht="15.75" customHeight="1" spans="1:23">
      <c r="A485" s="13"/>
      <c r="B485" s="13"/>
      <c r="C485" s="13"/>
      <c r="D485" s="13"/>
      <c r="E485" s="13"/>
      <c r="F485" s="13"/>
      <c r="G485" s="13"/>
      <c r="H485" s="13"/>
      <c r="I485" s="13"/>
      <c r="J485" s="13"/>
      <c r="K485" s="13"/>
      <c r="L485" s="13"/>
      <c r="M485" s="13"/>
      <c r="N485" s="13"/>
      <c r="O485" s="13"/>
      <c r="P485" s="13"/>
      <c r="Q485" s="13"/>
      <c r="R485" s="13"/>
      <c r="S485" s="13"/>
      <c r="T485" s="13"/>
      <c r="U485" s="13"/>
      <c r="V485" s="13"/>
      <c r="W485" s="13"/>
    </row>
    <row r="486" ht="15.75" customHeight="1" spans="1:23">
      <c r="A486" s="13"/>
      <c r="B486" s="13"/>
      <c r="C486" s="13"/>
      <c r="D486" s="13"/>
      <c r="E486" s="13"/>
      <c r="F486" s="13"/>
      <c r="G486" s="13"/>
      <c r="H486" s="13"/>
      <c r="I486" s="13"/>
      <c r="J486" s="13"/>
      <c r="K486" s="13"/>
      <c r="L486" s="13"/>
      <c r="M486" s="13"/>
      <c r="N486" s="13"/>
      <c r="O486" s="13"/>
      <c r="P486" s="13"/>
      <c r="Q486" s="13"/>
      <c r="R486" s="13"/>
      <c r="S486" s="13"/>
      <c r="T486" s="13"/>
      <c r="U486" s="13"/>
      <c r="V486" s="13"/>
      <c r="W486" s="13"/>
    </row>
    <row r="487" ht="15.75" customHeight="1" spans="1:23">
      <c r="A487" s="13"/>
      <c r="B487" s="13"/>
      <c r="C487" s="13"/>
      <c r="D487" s="13"/>
      <c r="E487" s="13"/>
      <c r="F487" s="13"/>
      <c r="G487" s="13"/>
      <c r="H487" s="13"/>
      <c r="I487" s="13"/>
      <c r="J487" s="13"/>
      <c r="K487" s="13"/>
      <c r="L487" s="13"/>
      <c r="M487" s="13"/>
      <c r="N487" s="13"/>
      <c r="O487" s="13"/>
      <c r="P487" s="13"/>
      <c r="Q487" s="13"/>
      <c r="R487" s="13"/>
      <c r="S487" s="13"/>
      <c r="T487" s="13"/>
      <c r="U487" s="13"/>
      <c r="V487" s="13"/>
      <c r="W487" s="13"/>
    </row>
    <row r="488" ht="15.75" customHeight="1" spans="1:23">
      <c r="A488" s="13"/>
      <c r="B488" s="13"/>
      <c r="C488" s="13"/>
      <c r="D488" s="13"/>
      <c r="E488" s="13"/>
      <c r="F488" s="13"/>
      <c r="G488" s="13"/>
      <c r="H488" s="13"/>
      <c r="I488" s="13"/>
      <c r="J488" s="13"/>
      <c r="K488" s="13"/>
      <c r="L488" s="13"/>
      <c r="M488" s="13"/>
      <c r="N488" s="13"/>
      <c r="O488" s="13"/>
      <c r="P488" s="13"/>
      <c r="Q488" s="13"/>
      <c r="R488" s="13"/>
      <c r="S488" s="13"/>
      <c r="T488" s="13"/>
      <c r="U488" s="13"/>
      <c r="V488" s="13"/>
      <c r="W488" s="13"/>
    </row>
    <row r="489" ht="15.75" customHeight="1" spans="1:23">
      <c r="A489" s="13"/>
      <c r="B489" s="13"/>
      <c r="C489" s="13"/>
      <c r="D489" s="13"/>
      <c r="E489" s="13"/>
      <c r="F489" s="13"/>
      <c r="G489" s="13"/>
      <c r="H489" s="13"/>
      <c r="I489" s="13"/>
      <c r="J489" s="13"/>
      <c r="K489" s="13"/>
      <c r="L489" s="13"/>
      <c r="M489" s="13"/>
      <c r="N489" s="13"/>
      <c r="O489" s="13"/>
      <c r="P489" s="13"/>
      <c r="Q489" s="13"/>
      <c r="R489" s="13"/>
      <c r="S489" s="13"/>
      <c r="T489" s="13"/>
      <c r="U489" s="13"/>
      <c r="V489" s="13"/>
      <c r="W489" s="13"/>
    </row>
    <row r="490" ht="15.75" customHeight="1" spans="1:23">
      <c r="A490" s="13"/>
      <c r="B490" s="13"/>
      <c r="C490" s="13"/>
      <c r="D490" s="13"/>
      <c r="E490" s="13"/>
      <c r="F490" s="13"/>
      <c r="G490" s="13"/>
      <c r="H490" s="13"/>
      <c r="I490" s="13"/>
      <c r="J490" s="13"/>
      <c r="K490" s="13"/>
      <c r="L490" s="13"/>
      <c r="M490" s="13"/>
      <c r="N490" s="13"/>
      <c r="O490" s="13"/>
      <c r="P490" s="13"/>
      <c r="Q490" s="13"/>
      <c r="R490" s="13"/>
      <c r="S490" s="13"/>
      <c r="T490" s="13"/>
      <c r="U490" s="13"/>
      <c r="V490" s="13"/>
      <c r="W490" s="13"/>
    </row>
    <row r="491" ht="15.75" customHeight="1" spans="1:23">
      <c r="A491" s="13"/>
      <c r="B491" s="13"/>
      <c r="C491" s="13"/>
      <c r="D491" s="13"/>
      <c r="E491" s="13"/>
      <c r="F491" s="13"/>
      <c r="G491" s="13"/>
      <c r="H491" s="13"/>
      <c r="I491" s="13"/>
      <c r="J491" s="13"/>
      <c r="K491" s="13"/>
      <c r="L491" s="13"/>
      <c r="M491" s="13"/>
      <c r="N491" s="13"/>
      <c r="O491" s="13"/>
      <c r="P491" s="13"/>
      <c r="Q491" s="13"/>
      <c r="R491" s="13"/>
      <c r="S491" s="13"/>
      <c r="T491" s="13"/>
      <c r="U491" s="13"/>
      <c r="V491" s="13"/>
      <c r="W491" s="13"/>
    </row>
    <row r="492" ht="15.75" customHeight="1" spans="1:23">
      <c r="A492" s="13"/>
      <c r="B492" s="13"/>
      <c r="C492" s="13"/>
      <c r="D492" s="13"/>
      <c r="E492" s="13"/>
      <c r="F492" s="13"/>
      <c r="G492" s="13"/>
      <c r="H492" s="13"/>
      <c r="I492" s="13"/>
      <c r="J492" s="13"/>
      <c r="K492" s="13"/>
      <c r="L492" s="13"/>
      <c r="M492" s="13"/>
      <c r="N492" s="13"/>
      <c r="O492" s="13"/>
      <c r="P492" s="13"/>
      <c r="Q492" s="13"/>
      <c r="R492" s="13"/>
      <c r="S492" s="13"/>
      <c r="T492" s="13"/>
      <c r="U492" s="13"/>
      <c r="V492" s="13"/>
      <c r="W492" s="13"/>
    </row>
    <row r="493" ht="15.75" customHeight="1" spans="1:23">
      <c r="A493" s="13"/>
      <c r="B493" s="13"/>
      <c r="C493" s="13"/>
      <c r="D493" s="13"/>
      <c r="E493" s="13"/>
      <c r="F493" s="13"/>
      <c r="G493" s="13"/>
      <c r="H493" s="13"/>
      <c r="I493" s="13"/>
      <c r="J493" s="13"/>
      <c r="K493" s="13"/>
      <c r="L493" s="13"/>
      <c r="M493" s="13"/>
      <c r="N493" s="13"/>
      <c r="O493" s="13"/>
      <c r="P493" s="13"/>
      <c r="Q493" s="13"/>
      <c r="R493" s="13"/>
      <c r="S493" s="13"/>
      <c r="T493" s="13"/>
      <c r="U493" s="13"/>
      <c r="V493" s="13"/>
      <c r="W493" s="13"/>
    </row>
    <row r="494" ht="15.75" customHeight="1" spans="1:23">
      <c r="A494" s="13"/>
      <c r="B494" s="13"/>
      <c r="C494" s="13"/>
      <c r="D494" s="13"/>
      <c r="E494" s="13"/>
      <c r="F494" s="13"/>
      <c r="G494" s="13"/>
      <c r="H494" s="13"/>
      <c r="I494" s="13"/>
      <c r="J494" s="13"/>
      <c r="K494" s="13"/>
      <c r="L494" s="13"/>
      <c r="M494" s="13"/>
      <c r="N494" s="13"/>
      <c r="O494" s="13"/>
      <c r="P494" s="13"/>
      <c r="Q494" s="13"/>
      <c r="R494" s="13"/>
      <c r="S494" s="13"/>
      <c r="T494" s="13"/>
      <c r="U494" s="13"/>
      <c r="V494" s="13"/>
      <c r="W494" s="13"/>
    </row>
    <row r="495" ht="15.75" customHeight="1" spans="1:23">
      <c r="A495" s="13"/>
      <c r="B495" s="13"/>
      <c r="C495" s="13"/>
      <c r="D495" s="13"/>
      <c r="E495" s="13"/>
      <c r="F495" s="13"/>
      <c r="G495" s="13"/>
      <c r="H495" s="13"/>
      <c r="I495" s="13"/>
      <c r="J495" s="13"/>
      <c r="K495" s="13"/>
      <c r="L495" s="13"/>
      <c r="M495" s="13"/>
      <c r="N495" s="13"/>
      <c r="O495" s="13"/>
      <c r="P495" s="13"/>
      <c r="Q495" s="13"/>
      <c r="R495" s="13"/>
      <c r="S495" s="13"/>
      <c r="T495" s="13"/>
      <c r="U495" s="13"/>
      <c r="V495" s="13"/>
      <c r="W495" s="13"/>
    </row>
    <row r="496" ht="15.75" customHeight="1" spans="1:23">
      <c r="A496" s="13"/>
      <c r="B496" s="13"/>
      <c r="C496" s="13"/>
      <c r="D496" s="13"/>
      <c r="E496" s="13"/>
      <c r="F496" s="13"/>
      <c r="G496" s="13"/>
      <c r="H496" s="13"/>
      <c r="I496" s="13"/>
      <c r="J496" s="13"/>
      <c r="K496" s="13"/>
      <c r="L496" s="13"/>
      <c r="M496" s="13"/>
      <c r="N496" s="13"/>
      <c r="O496" s="13"/>
      <c r="P496" s="13"/>
      <c r="Q496" s="13"/>
      <c r="R496" s="13"/>
      <c r="S496" s="13"/>
      <c r="T496" s="13"/>
      <c r="U496" s="13"/>
      <c r="V496" s="13"/>
      <c r="W496" s="13"/>
    </row>
    <row r="497" ht="15.75" customHeight="1" spans="1:23">
      <c r="A497" s="13"/>
      <c r="B497" s="13"/>
      <c r="C497" s="13"/>
      <c r="D497" s="13"/>
      <c r="E497" s="13"/>
      <c r="F497" s="13"/>
      <c r="G497" s="13"/>
      <c r="H497" s="13"/>
      <c r="I497" s="13"/>
      <c r="J497" s="13"/>
      <c r="K497" s="13"/>
      <c r="L497" s="13"/>
      <c r="M497" s="13"/>
      <c r="N497" s="13"/>
      <c r="O497" s="13"/>
      <c r="P497" s="13"/>
      <c r="Q497" s="13"/>
      <c r="R497" s="13"/>
      <c r="S497" s="13"/>
      <c r="T497" s="13"/>
      <c r="U497" s="13"/>
      <c r="V497" s="13"/>
      <c r="W497" s="13"/>
    </row>
    <row r="498" ht="15.75" customHeight="1" spans="1:23">
      <c r="A498" s="13"/>
      <c r="B498" s="13"/>
      <c r="C498" s="13"/>
      <c r="D498" s="13"/>
      <c r="E498" s="13"/>
      <c r="F498" s="13"/>
      <c r="G498" s="13"/>
      <c r="H498" s="13"/>
      <c r="I498" s="13"/>
      <c r="J498" s="13"/>
      <c r="K498" s="13"/>
      <c r="L498" s="13"/>
      <c r="M498" s="13"/>
      <c r="N498" s="13"/>
      <c r="O498" s="13"/>
      <c r="P498" s="13"/>
      <c r="Q498" s="13"/>
      <c r="R498" s="13"/>
      <c r="S498" s="13"/>
      <c r="T498" s="13"/>
      <c r="U498" s="13"/>
      <c r="V498" s="13"/>
      <c r="W498" s="13"/>
    </row>
    <row r="499" ht="15.75" customHeight="1" spans="1:23">
      <c r="A499" s="13"/>
      <c r="B499" s="13"/>
      <c r="C499" s="13"/>
      <c r="D499" s="13"/>
      <c r="E499" s="13"/>
      <c r="F499" s="13"/>
      <c r="G499" s="13"/>
      <c r="H499" s="13"/>
      <c r="I499" s="13"/>
      <c r="J499" s="13"/>
      <c r="K499" s="13"/>
      <c r="L499" s="13"/>
      <c r="M499" s="13"/>
      <c r="N499" s="13"/>
      <c r="O499" s="13"/>
      <c r="P499" s="13"/>
      <c r="Q499" s="13"/>
      <c r="R499" s="13"/>
      <c r="S499" s="13"/>
      <c r="T499" s="13"/>
      <c r="U499" s="13"/>
      <c r="V499" s="13"/>
      <c r="W499" s="13"/>
    </row>
    <row r="500" ht="15.75" customHeight="1" spans="1:23">
      <c r="A500" s="13"/>
      <c r="B500" s="13"/>
      <c r="C500" s="13"/>
      <c r="D500" s="13"/>
      <c r="E500" s="13"/>
      <c r="F500" s="13"/>
      <c r="G500" s="13"/>
      <c r="H500" s="13"/>
      <c r="I500" s="13"/>
      <c r="J500" s="13"/>
      <c r="K500" s="13"/>
      <c r="L500" s="13"/>
      <c r="M500" s="13"/>
      <c r="N500" s="13"/>
      <c r="O500" s="13"/>
      <c r="P500" s="13"/>
      <c r="Q500" s="13"/>
      <c r="R500" s="13"/>
      <c r="S500" s="13"/>
      <c r="T500" s="13"/>
      <c r="U500" s="13"/>
      <c r="V500" s="13"/>
      <c r="W500" s="13"/>
    </row>
    <row r="501" ht="15.75" customHeight="1" spans="1:23">
      <c r="A501" s="13"/>
      <c r="B501" s="13"/>
      <c r="C501" s="13"/>
      <c r="D501" s="13"/>
      <c r="E501" s="13"/>
      <c r="F501" s="13"/>
      <c r="G501" s="13"/>
      <c r="H501" s="13"/>
      <c r="I501" s="13"/>
      <c r="J501" s="13"/>
      <c r="K501" s="13"/>
      <c r="L501" s="13"/>
      <c r="M501" s="13"/>
      <c r="N501" s="13"/>
      <c r="O501" s="13"/>
      <c r="P501" s="13"/>
      <c r="Q501" s="13"/>
      <c r="R501" s="13"/>
      <c r="S501" s="13"/>
      <c r="T501" s="13"/>
      <c r="U501" s="13"/>
      <c r="V501" s="13"/>
      <c r="W501" s="13"/>
    </row>
    <row r="502" ht="15.75" customHeight="1" spans="1:23">
      <c r="A502" s="13"/>
      <c r="B502" s="13"/>
      <c r="C502" s="13"/>
      <c r="D502" s="13"/>
      <c r="E502" s="13"/>
      <c r="F502" s="13"/>
      <c r="G502" s="13"/>
      <c r="H502" s="13"/>
      <c r="I502" s="13"/>
      <c r="J502" s="13"/>
      <c r="K502" s="13"/>
      <c r="L502" s="13"/>
      <c r="M502" s="13"/>
      <c r="N502" s="13"/>
      <c r="O502" s="13"/>
      <c r="P502" s="13"/>
      <c r="Q502" s="13"/>
      <c r="R502" s="13"/>
      <c r="S502" s="13"/>
      <c r="T502" s="13"/>
      <c r="U502" s="13"/>
      <c r="V502" s="13"/>
      <c r="W502" s="13"/>
    </row>
    <row r="503" ht="15.75" customHeight="1" spans="1:23">
      <c r="A503" s="13"/>
      <c r="B503" s="13"/>
      <c r="C503" s="13"/>
      <c r="D503" s="13"/>
      <c r="E503" s="13"/>
      <c r="F503" s="13"/>
      <c r="G503" s="13"/>
      <c r="H503" s="13"/>
      <c r="I503" s="13"/>
      <c r="J503" s="13"/>
      <c r="K503" s="13"/>
      <c r="L503" s="13"/>
      <c r="M503" s="13"/>
      <c r="N503" s="13"/>
      <c r="O503" s="13"/>
      <c r="P503" s="13"/>
      <c r="Q503" s="13"/>
      <c r="R503" s="13"/>
      <c r="S503" s="13"/>
      <c r="T503" s="13"/>
      <c r="U503" s="13"/>
      <c r="V503" s="13"/>
      <c r="W503" s="13"/>
    </row>
    <row r="504" ht="15.75" customHeight="1" spans="1:23">
      <c r="A504" s="13"/>
      <c r="B504" s="13"/>
      <c r="C504" s="13"/>
      <c r="D504" s="13"/>
      <c r="E504" s="13"/>
      <c r="F504" s="13"/>
      <c r="G504" s="13"/>
      <c r="H504" s="13"/>
      <c r="I504" s="13"/>
      <c r="J504" s="13"/>
      <c r="K504" s="13"/>
      <c r="L504" s="13"/>
      <c r="M504" s="13"/>
      <c r="N504" s="13"/>
      <c r="O504" s="13"/>
      <c r="P504" s="13"/>
      <c r="Q504" s="13"/>
      <c r="R504" s="13"/>
      <c r="S504" s="13"/>
      <c r="T504" s="13"/>
      <c r="U504" s="13"/>
      <c r="V504" s="13"/>
      <c r="W504" s="13"/>
    </row>
    <row r="505" ht="15.75" customHeight="1" spans="1:23">
      <c r="A505" s="13"/>
      <c r="B505" s="13"/>
      <c r="C505" s="13"/>
      <c r="D505" s="13"/>
      <c r="E505" s="13"/>
      <c r="F505" s="13"/>
      <c r="G505" s="13"/>
      <c r="H505" s="13"/>
      <c r="I505" s="13"/>
      <c r="J505" s="13"/>
      <c r="K505" s="13"/>
      <c r="L505" s="13"/>
      <c r="M505" s="13"/>
      <c r="N505" s="13"/>
      <c r="O505" s="13"/>
      <c r="P505" s="13"/>
      <c r="Q505" s="13"/>
      <c r="R505" s="13"/>
      <c r="S505" s="13"/>
      <c r="T505" s="13"/>
      <c r="U505" s="13"/>
      <c r="V505" s="13"/>
      <c r="W505" s="13"/>
    </row>
    <row r="506" ht="15.75" customHeight="1" spans="1:23">
      <c r="A506" s="13"/>
      <c r="B506" s="13"/>
      <c r="C506" s="13"/>
      <c r="D506" s="13"/>
      <c r="E506" s="13"/>
      <c r="F506" s="13"/>
      <c r="G506" s="13"/>
      <c r="H506" s="13"/>
      <c r="I506" s="13"/>
      <c r="J506" s="13"/>
      <c r="K506" s="13"/>
      <c r="L506" s="13"/>
      <c r="M506" s="13"/>
      <c r="N506" s="13"/>
      <c r="O506" s="13"/>
      <c r="P506" s="13"/>
      <c r="Q506" s="13"/>
      <c r="R506" s="13"/>
      <c r="S506" s="13"/>
      <c r="T506" s="13"/>
      <c r="U506" s="13"/>
      <c r="V506" s="13"/>
      <c r="W506" s="13"/>
    </row>
    <row r="507" ht="15.75" customHeight="1" spans="1:23">
      <c r="A507" s="13"/>
      <c r="B507" s="13"/>
      <c r="C507" s="13"/>
      <c r="D507" s="13"/>
      <c r="E507" s="13"/>
      <c r="F507" s="13"/>
      <c r="G507" s="13"/>
      <c r="H507" s="13"/>
      <c r="I507" s="13"/>
      <c r="J507" s="13"/>
      <c r="K507" s="13"/>
      <c r="L507" s="13"/>
      <c r="M507" s="13"/>
      <c r="N507" s="13"/>
      <c r="O507" s="13"/>
      <c r="P507" s="13"/>
      <c r="Q507" s="13"/>
      <c r="R507" s="13"/>
      <c r="S507" s="13"/>
      <c r="T507" s="13"/>
      <c r="U507" s="13"/>
      <c r="V507" s="13"/>
      <c r="W507" s="13"/>
    </row>
    <row r="508" ht="15.75" customHeight="1" spans="1:23">
      <c r="A508" s="13"/>
      <c r="B508" s="13"/>
      <c r="C508" s="13"/>
      <c r="D508" s="13"/>
      <c r="E508" s="13"/>
      <c r="F508" s="13"/>
      <c r="G508" s="13"/>
      <c r="H508" s="13"/>
      <c r="I508" s="13"/>
      <c r="J508" s="13"/>
      <c r="K508" s="13"/>
      <c r="L508" s="13"/>
      <c r="M508" s="13"/>
      <c r="N508" s="13"/>
      <c r="O508" s="13"/>
      <c r="P508" s="13"/>
      <c r="Q508" s="13"/>
      <c r="R508" s="13"/>
      <c r="S508" s="13"/>
      <c r="T508" s="13"/>
      <c r="U508" s="13"/>
      <c r="V508" s="13"/>
      <c r="W508" s="13"/>
    </row>
    <row r="509" ht="15.75" customHeight="1" spans="1:23">
      <c r="A509" s="13"/>
      <c r="B509" s="13"/>
      <c r="C509" s="13"/>
      <c r="D509" s="13"/>
      <c r="E509" s="13"/>
      <c r="F509" s="13"/>
      <c r="G509" s="13"/>
      <c r="H509" s="13"/>
      <c r="I509" s="13"/>
      <c r="J509" s="13"/>
      <c r="K509" s="13"/>
      <c r="L509" s="13"/>
      <c r="M509" s="13"/>
      <c r="N509" s="13"/>
      <c r="O509" s="13"/>
      <c r="P509" s="13"/>
      <c r="Q509" s="13"/>
      <c r="R509" s="13"/>
      <c r="S509" s="13"/>
      <c r="T509" s="13"/>
      <c r="U509" s="13"/>
      <c r="V509" s="13"/>
      <c r="W509" s="13"/>
    </row>
    <row r="510" ht="15.75" customHeight="1" spans="1:23">
      <c r="A510" s="13"/>
      <c r="B510" s="13"/>
      <c r="C510" s="13"/>
      <c r="D510" s="13"/>
      <c r="E510" s="13"/>
      <c r="F510" s="13"/>
      <c r="G510" s="13"/>
      <c r="H510" s="13"/>
      <c r="I510" s="13"/>
      <c r="J510" s="13"/>
      <c r="K510" s="13"/>
      <c r="L510" s="13"/>
      <c r="M510" s="13"/>
      <c r="N510" s="13"/>
      <c r="O510" s="13"/>
      <c r="P510" s="13"/>
      <c r="Q510" s="13"/>
      <c r="R510" s="13"/>
      <c r="S510" s="13"/>
      <c r="T510" s="13"/>
      <c r="U510" s="13"/>
      <c r="V510" s="13"/>
      <c r="W510" s="13"/>
    </row>
    <row r="511" ht="15.75" customHeight="1" spans="1:23">
      <c r="A511" s="13"/>
      <c r="B511" s="13"/>
      <c r="C511" s="13"/>
      <c r="D511" s="13"/>
      <c r="E511" s="13"/>
      <c r="F511" s="13"/>
      <c r="G511" s="13"/>
      <c r="H511" s="13"/>
      <c r="I511" s="13"/>
      <c r="J511" s="13"/>
      <c r="K511" s="13"/>
      <c r="L511" s="13"/>
      <c r="M511" s="13"/>
      <c r="N511" s="13"/>
      <c r="O511" s="13"/>
      <c r="P511" s="13"/>
      <c r="Q511" s="13"/>
      <c r="R511" s="13"/>
      <c r="S511" s="13"/>
      <c r="T511" s="13"/>
      <c r="U511" s="13"/>
      <c r="V511" s="13"/>
      <c r="W511" s="13"/>
    </row>
    <row r="512" ht="15.75" customHeight="1" spans="1:23">
      <c r="A512" s="13"/>
      <c r="B512" s="13"/>
      <c r="C512" s="13"/>
      <c r="D512" s="13"/>
      <c r="E512" s="13"/>
      <c r="F512" s="13"/>
      <c r="G512" s="13"/>
      <c r="H512" s="13"/>
      <c r="I512" s="13"/>
      <c r="J512" s="13"/>
      <c r="K512" s="13"/>
      <c r="L512" s="13"/>
      <c r="M512" s="13"/>
      <c r="N512" s="13"/>
      <c r="O512" s="13"/>
      <c r="P512" s="13"/>
      <c r="Q512" s="13"/>
      <c r="R512" s="13"/>
      <c r="S512" s="13"/>
      <c r="T512" s="13"/>
      <c r="U512" s="13"/>
      <c r="V512" s="13"/>
      <c r="W512" s="13"/>
    </row>
    <row r="513" ht="15.75" customHeight="1" spans="1:23">
      <c r="A513" s="13"/>
      <c r="B513" s="13"/>
      <c r="C513" s="13"/>
      <c r="D513" s="13"/>
      <c r="E513" s="13"/>
      <c r="F513" s="13"/>
      <c r="G513" s="13"/>
      <c r="H513" s="13"/>
      <c r="I513" s="13"/>
      <c r="J513" s="13"/>
      <c r="K513" s="13"/>
      <c r="L513" s="13"/>
      <c r="M513" s="13"/>
      <c r="N513" s="13"/>
      <c r="O513" s="13"/>
      <c r="P513" s="13"/>
      <c r="Q513" s="13"/>
      <c r="R513" s="13"/>
      <c r="S513" s="13"/>
      <c r="T513" s="13"/>
      <c r="U513" s="13"/>
      <c r="V513" s="13"/>
      <c r="W513" s="13"/>
    </row>
    <row r="514" ht="15.75" customHeight="1" spans="1:23">
      <c r="A514" s="13"/>
      <c r="B514" s="13"/>
      <c r="C514" s="13"/>
      <c r="D514" s="13"/>
      <c r="E514" s="13"/>
      <c r="F514" s="13"/>
      <c r="G514" s="13"/>
      <c r="H514" s="13"/>
      <c r="I514" s="13"/>
      <c r="J514" s="13"/>
      <c r="K514" s="13"/>
      <c r="L514" s="13"/>
      <c r="M514" s="13"/>
      <c r="N514" s="13"/>
      <c r="O514" s="13"/>
      <c r="P514" s="13"/>
      <c r="Q514" s="13"/>
      <c r="R514" s="13"/>
      <c r="S514" s="13"/>
      <c r="T514" s="13"/>
      <c r="U514" s="13"/>
      <c r="V514" s="13"/>
      <c r="W514" s="13"/>
    </row>
    <row r="515" ht="15.75" customHeight="1" spans="1:23">
      <c r="A515" s="13"/>
      <c r="B515" s="13"/>
      <c r="C515" s="13"/>
      <c r="D515" s="13"/>
      <c r="E515" s="13"/>
      <c r="F515" s="13"/>
      <c r="G515" s="13"/>
      <c r="H515" s="13"/>
      <c r="I515" s="13"/>
      <c r="J515" s="13"/>
      <c r="K515" s="13"/>
      <c r="L515" s="13"/>
      <c r="M515" s="13"/>
      <c r="N515" s="13"/>
      <c r="O515" s="13"/>
      <c r="P515" s="13"/>
      <c r="Q515" s="13"/>
      <c r="R515" s="13"/>
      <c r="S515" s="13"/>
      <c r="T515" s="13"/>
      <c r="U515" s="13"/>
      <c r="V515" s="13"/>
      <c r="W515" s="13"/>
    </row>
    <row r="516" ht="15.75" customHeight="1" spans="1:23">
      <c r="A516" s="13"/>
      <c r="B516" s="13"/>
      <c r="C516" s="13"/>
      <c r="D516" s="13"/>
      <c r="E516" s="13"/>
      <c r="F516" s="13"/>
      <c r="G516" s="13"/>
      <c r="H516" s="13"/>
      <c r="I516" s="13"/>
      <c r="J516" s="13"/>
      <c r="K516" s="13"/>
      <c r="L516" s="13"/>
      <c r="M516" s="13"/>
      <c r="N516" s="13"/>
      <c r="O516" s="13"/>
      <c r="P516" s="13"/>
      <c r="Q516" s="13"/>
      <c r="R516" s="13"/>
      <c r="S516" s="13"/>
      <c r="T516" s="13"/>
      <c r="U516" s="13"/>
      <c r="V516" s="13"/>
      <c r="W516" s="13"/>
    </row>
    <row r="517" ht="15.75" customHeight="1" spans="1:23">
      <c r="A517" s="13"/>
      <c r="B517" s="13"/>
      <c r="C517" s="13"/>
      <c r="D517" s="13"/>
      <c r="E517" s="13"/>
      <c r="F517" s="13"/>
      <c r="G517" s="13"/>
      <c r="H517" s="13"/>
      <c r="I517" s="13"/>
      <c r="J517" s="13"/>
      <c r="K517" s="13"/>
      <c r="L517" s="13"/>
      <c r="M517" s="13"/>
      <c r="N517" s="13"/>
      <c r="O517" s="13"/>
      <c r="P517" s="13"/>
      <c r="Q517" s="13"/>
      <c r="R517" s="13"/>
      <c r="S517" s="13"/>
      <c r="T517" s="13"/>
      <c r="U517" s="13"/>
      <c r="V517" s="13"/>
      <c r="W517" s="13"/>
    </row>
    <row r="518" ht="15.75" customHeight="1" spans="1:23">
      <c r="A518" s="13"/>
      <c r="B518" s="13"/>
      <c r="C518" s="13"/>
      <c r="D518" s="13"/>
      <c r="E518" s="13"/>
      <c r="F518" s="13"/>
      <c r="G518" s="13"/>
      <c r="H518" s="13"/>
      <c r="I518" s="13"/>
      <c r="J518" s="13"/>
      <c r="K518" s="13"/>
      <c r="L518" s="13"/>
      <c r="M518" s="13"/>
      <c r="N518" s="13"/>
      <c r="O518" s="13"/>
      <c r="P518" s="13"/>
      <c r="Q518" s="13"/>
      <c r="R518" s="13"/>
      <c r="S518" s="13"/>
      <c r="T518" s="13"/>
      <c r="U518" s="13"/>
      <c r="V518" s="13"/>
      <c r="W518" s="13"/>
    </row>
    <row r="519" ht="15.75" customHeight="1" spans="1:23">
      <c r="A519" s="13"/>
      <c r="B519" s="13"/>
      <c r="C519" s="13"/>
      <c r="D519" s="13"/>
      <c r="E519" s="13"/>
      <c r="F519" s="13"/>
      <c r="G519" s="13"/>
      <c r="H519" s="13"/>
      <c r="I519" s="13"/>
      <c r="J519" s="13"/>
      <c r="K519" s="13"/>
      <c r="L519" s="13"/>
      <c r="M519" s="13"/>
      <c r="N519" s="13"/>
      <c r="O519" s="13"/>
      <c r="P519" s="13"/>
      <c r="Q519" s="13"/>
      <c r="R519" s="13"/>
      <c r="S519" s="13"/>
      <c r="T519" s="13"/>
      <c r="U519" s="13"/>
      <c r="V519" s="13"/>
      <c r="W519" s="13"/>
    </row>
    <row r="520" ht="15.75" customHeight="1" spans="1:23">
      <c r="A520" s="13"/>
      <c r="B520" s="13"/>
      <c r="C520" s="13"/>
      <c r="D520" s="13"/>
      <c r="E520" s="13"/>
      <c r="F520" s="13"/>
      <c r="G520" s="13"/>
      <c r="H520" s="13"/>
      <c r="I520" s="13"/>
      <c r="J520" s="13"/>
      <c r="K520" s="13"/>
      <c r="L520" s="13"/>
      <c r="M520" s="13"/>
      <c r="N520" s="13"/>
      <c r="O520" s="13"/>
      <c r="P520" s="13"/>
      <c r="Q520" s="13"/>
      <c r="R520" s="13"/>
      <c r="S520" s="13"/>
      <c r="T520" s="13"/>
      <c r="U520" s="13"/>
      <c r="V520" s="13"/>
      <c r="W520" s="13"/>
    </row>
    <row r="521" ht="15.75" customHeight="1" spans="1:23">
      <c r="A521" s="13"/>
      <c r="B521" s="13"/>
      <c r="C521" s="13"/>
      <c r="D521" s="13"/>
      <c r="E521" s="13"/>
      <c r="F521" s="13"/>
      <c r="G521" s="13"/>
      <c r="H521" s="13"/>
      <c r="I521" s="13"/>
      <c r="J521" s="13"/>
      <c r="K521" s="13"/>
      <c r="L521" s="13"/>
      <c r="M521" s="13"/>
      <c r="N521" s="13"/>
      <c r="O521" s="13"/>
      <c r="P521" s="13"/>
      <c r="Q521" s="13"/>
      <c r="R521" s="13"/>
      <c r="S521" s="13"/>
      <c r="T521" s="13"/>
      <c r="U521" s="13"/>
      <c r="V521" s="13"/>
      <c r="W521" s="13"/>
    </row>
    <row r="522" ht="15.75" customHeight="1" spans="1:23">
      <c r="A522" s="13"/>
      <c r="B522" s="13"/>
      <c r="C522" s="13"/>
      <c r="D522" s="13"/>
      <c r="E522" s="13"/>
      <c r="F522" s="13"/>
      <c r="G522" s="13"/>
      <c r="H522" s="13"/>
      <c r="I522" s="13"/>
      <c r="J522" s="13"/>
      <c r="K522" s="13"/>
      <c r="L522" s="13"/>
      <c r="M522" s="13"/>
      <c r="N522" s="13"/>
      <c r="O522" s="13"/>
      <c r="P522" s="13"/>
      <c r="Q522" s="13"/>
      <c r="R522" s="13"/>
      <c r="S522" s="13"/>
      <c r="T522" s="13"/>
      <c r="U522" s="13"/>
      <c r="V522" s="13"/>
      <c r="W522" s="13"/>
    </row>
    <row r="523" ht="15.75" customHeight="1" spans="1:23">
      <c r="A523" s="13"/>
      <c r="B523" s="13"/>
      <c r="C523" s="13"/>
      <c r="D523" s="13"/>
      <c r="E523" s="13"/>
      <c r="F523" s="13"/>
      <c r="G523" s="13"/>
      <c r="H523" s="13"/>
      <c r="I523" s="13"/>
      <c r="J523" s="13"/>
      <c r="K523" s="13"/>
      <c r="L523" s="13"/>
      <c r="M523" s="13"/>
      <c r="N523" s="13"/>
      <c r="O523" s="13"/>
      <c r="P523" s="13"/>
      <c r="Q523" s="13"/>
      <c r="R523" s="13"/>
      <c r="S523" s="13"/>
      <c r="T523" s="13"/>
      <c r="U523" s="13"/>
      <c r="V523" s="13"/>
      <c r="W523" s="13"/>
    </row>
    <row r="524" ht="15.75" customHeight="1" spans="1:23">
      <c r="A524" s="13"/>
      <c r="B524" s="13"/>
      <c r="C524" s="13"/>
      <c r="D524" s="13"/>
      <c r="E524" s="13"/>
      <c r="F524" s="13"/>
      <c r="G524" s="13"/>
      <c r="H524" s="13"/>
      <c r="I524" s="13"/>
      <c r="J524" s="13"/>
      <c r="K524" s="13"/>
      <c r="L524" s="13"/>
      <c r="M524" s="13"/>
      <c r="N524" s="13"/>
      <c r="O524" s="13"/>
      <c r="P524" s="13"/>
      <c r="Q524" s="13"/>
      <c r="R524" s="13"/>
      <c r="S524" s="13"/>
      <c r="T524" s="13"/>
      <c r="U524" s="13"/>
      <c r="V524" s="13"/>
      <c r="W524" s="13"/>
    </row>
    <row r="525" ht="15.75" customHeight="1" spans="1:23">
      <c r="A525" s="13"/>
      <c r="B525" s="13"/>
      <c r="C525" s="13"/>
      <c r="D525" s="13"/>
      <c r="E525" s="13"/>
      <c r="F525" s="13"/>
      <c r="G525" s="13"/>
      <c r="H525" s="13"/>
      <c r="I525" s="13"/>
      <c r="J525" s="13"/>
      <c r="K525" s="13"/>
      <c r="L525" s="13"/>
      <c r="M525" s="13"/>
      <c r="N525" s="13"/>
      <c r="O525" s="13"/>
      <c r="P525" s="13"/>
      <c r="Q525" s="13"/>
      <c r="R525" s="13"/>
      <c r="S525" s="13"/>
      <c r="T525" s="13"/>
      <c r="U525" s="13"/>
      <c r="V525" s="13"/>
      <c r="W525" s="13"/>
    </row>
    <row r="526" ht="15.75" customHeight="1" spans="1:23">
      <c r="A526" s="13"/>
      <c r="B526" s="13"/>
      <c r="C526" s="13"/>
      <c r="D526" s="13"/>
      <c r="E526" s="13"/>
      <c r="F526" s="13"/>
      <c r="G526" s="13"/>
      <c r="H526" s="13"/>
      <c r="I526" s="13"/>
      <c r="J526" s="13"/>
      <c r="K526" s="13"/>
      <c r="L526" s="13"/>
      <c r="M526" s="13"/>
      <c r="N526" s="13"/>
      <c r="O526" s="13"/>
      <c r="P526" s="13"/>
      <c r="Q526" s="13"/>
      <c r="R526" s="13"/>
      <c r="S526" s="13"/>
      <c r="T526" s="13"/>
      <c r="U526" s="13"/>
      <c r="V526" s="13"/>
      <c r="W526" s="13"/>
    </row>
    <row r="527" ht="15.75" customHeight="1" spans="1:23">
      <c r="A527" s="13"/>
      <c r="B527" s="13"/>
      <c r="C527" s="13"/>
      <c r="D527" s="13"/>
      <c r="E527" s="13"/>
      <c r="F527" s="13"/>
      <c r="G527" s="13"/>
      <c r="H527" s="13"/>
      <c r="I527" s="13"/>
      <c r="J527" s="13"/>
      <c r="K527" s="13"/>
      <c r="L527" s="13"/>
      <c r="M527" s="13"/>
      <c r="N527" s="13"/>
      <c r="O527" s="13"/>
      <c r="P527" s="13"/>
      <c r="Q527" s="13"/>
      <c r="R527" s="13"/>
      <c r="S527" s="13"/>
      <c r="T527" s="13"/>
      <c r="U527" s="13"/>
      <c r="V527" s="13"/>
      <c r="W527" s="13"/>
    </row>
    <row r="528" ht="15.75" customHeight="1" spans="1:23">
      <c r="A528" s="13"/>
      <c r="B528" s="13"/>
      <c r="C528" s="13"/>
      <c r="D528" s="13"/>
      <c r="E528" s="13"/>
      <c r="F528" s="13"/>
      <c r="G528" s="13"/>
      <c r="H528" s="13"/>
      <c r="I528" s="13"/>
      <c r="J528" s="13"/>
      <c r="K528" s="13"/>
      <c r="L528" s="13"/>
      <c r="M528" s="13"/>
      <c r="N528" s="13"/>
      <c r="O528" s="13"/>
      <c r="P528" s="13"/>
      <c r="Q528" s="13"/>
      <c r="R528" s="13"/>
      <c r="S528" s="13"/>
      <c r="T528" s="13"/>
      <c r="U528" s="13"/>
      <c r="V528" s="13"/>
      <c r="W528" s="13"/>
    </row>
    <row r="529" ht="15.75" customHeight="1" spans="1:23">
      <c r="A529" s="13"/>
      <c r="B529" s="13"/>
      <c r="C529" s="13"/>
      <c r="D529" s="13"/>
      <c r="E529" s="13"/>
      <c r="F529" s="13"/>
      <c r="G529" s="13"/>
      <c r="H529" s="13"/>
      <c r="I529" s="13"/>
      <c r="J529" s="13"/>
      <c r="K529" s="13"/>
      <c r="L529" s="13"/>
      <c r="M529" s="13"/>
      <c r="N529" s="13"/>
      <c r="O529" s="13"/>
      <c r="P529" s="13"/>
      <c r="Q529" s="13"/>
      <c r="R529" s="13"/>
      <c r="S529" s="13"/>
      <c r="T529" s="13"/>
      <c r="U529" s="13"/>
      <c r="V529" s="13"/>
      <c r="W529" s="13"/>
    </row>
    <row r="530" ht="15.75" customHeight="1" spans="1:23">
      <c r="A530" s="13"/>
      <c r="B530" s="13"/>
      <c r="C530" s="13"/>
      <c r="D530" s="13"/>
      <c r="E530" s="13"/>
      <c r="F530" s="13"/>
      <c r="G530" s="13"/>
      <c r="H530" s="13"/>
      <c r="I530" s="13"/>
      <c r="J530" s="13"/>
      <c r="K530" s="13"/>
      <c r="L530" s="13"/>
      <c r="M530" s="13"/>
      <c r="N530" s="13"/>
      <c r="O530" s="13"/>
      <c r="P530" s="13"/>
      <c r="Q530" s="13"/>
      <c r="R530" s="13"/>
      <c r="S530" s="13"/>
      <c r="T530" s="13"/>
      <c r="U530" s="13"/>
      <c r="V530" s="13"/>
      <c r="W530" s="13"/>
    </row>
    <row r="531" ht="15.75" customHeight="1" spans="1:23">
      <c r="A531" s="13"/>
      <c r="B531" s="13"/>
      <c r="C531" s="13"/>
      <c r="D531" s="13"/>
      <c r="E531" s="13"/>
      <c r="F531" s="13"/>
      <c r="G531" s="13"/>
      <c r="H531" s="13"/>
      <c r="I531" s="13"/>
      <c r="J531" s="13"/>
      <c r="K531" s="13"/>
      <c r="L531" s="13"/>
      <c r="M531" s="13"/>
      <c r="N531" s="13"/>
      <c r="O531" s="13"/>
      <c r="P531" s="13"/>
      <c r="Q531" s="13"/>
      <c r="R531" s="13"/>
      <c r="S531" s="13"/>
      <c r="T531" s="13"/>
      <c r="U531" s="13"/>
      <c r="V531" s="13"/>
      <c r="W531" s="13"/>
    </row>
    <row r="532" ht="15.75" customHeight="1" spans="1:23">
      <c r="A532" s="13"/>
      <c r="B532" s="13"/>
      <c r="C532" s="13"/>
      <c r="D532" s="13"/>
      <c r="E532" s="13"/>
      <c r="F532" s="13"/>
      <c r="G532" s="13"/>
      <c r="H532" s="13"/>
      <c r="I532" s="13"/>
      <c r="J532" s="13"/>
      <c r="K532" s="13"/>
      <c r="L532" s="13"/>
      <c r="M532" s="13"/>
      <c r="N532" s="13"/>
      <c r="O532" s="13"/>
      <c r="P532" s="13"/>
      <c r="Q532" s="13"/>
      <c r="R532" s="13"/>
      <c r="S532" s="13"/>
      <c r="T532" s="13"/>
      <c r="U532" s="13"/>
      <c r="V532" s="13"/>
      <c r="W532" s="13"/>
    </row>
    <row r="533" ht="15.75" customHeight="1" spans="1:23">
      <c r="A533" s="13"/>
      <c r="B533" s="13"/>
      <c r="C533" s="13"/>
      <c r="D533" s="13"/>
      <c r="E533" s="13"/>
      <c r="F533" s="13"/>
      <c r="G533" s="13"/>
      <c r="H533" s="13"/>
      <c r="I533" s="13"/>
      <c r="J533" s="13"/>
      <c r="K533" s="13"/>
      <c r="L533" s="13"/>
      <c r="M533" s="13"/>
      <c r="N533" s="13"/>
      <c r="O533" s="13"/>
      <c r="P533" s="13"/>
      <c r="Q533" s="13"/>
      <c r="R533" s="13"/>
      <c r="S533" s="13"/>
      <c r="T533" s="13"/>
      <c r="U533" s="13"/>
      <c r="V533" s="13"/>
      <c r="W533" s="13"/>
    </row>
    <row r="534" ht="15.75" customHeight="1" spans="1:23">
      <c r="A534" s="13"/>
      <c r="B534" s="13"/>
      <c r="C534" s="13"/>
      <c r="D534" s="13"/>
      <c r="E534" s="13"/>
      <c r="F534" s="13"/>
      <c r="G534" s="13"/>
      <c r="H534" s="13"/>
      <c r="I534" s="13"/>
      <c r="J534" s="13"/>
      <c r="K534" s="13"/>
      <c r="L534" s="13"/>
      <c r="M534" s="13"/>
      <c r="N534" s="13"/>
      <c r="O534" s="13"/>
      <c r="P534" s="13"/>
      <c r="Q534" s="13"/>
      <c r="R534" s="13"/>
      <c r="S534" s="13"/>
      <c r="T534" s="13"/>
      <c r="U534" s="13"/>
      <c r="V534" s="13"/>
      <c r="W534" s="13"/>
    </row>
    <row r="535" ht="15.75" customHeight="1" spans="1:23">
      <c r="A535" s="13"/>
      <c r="B535" s="13"/>
      <c r="C535" s="13"/>
      <c r="D535" s="13"/>
      <c r="E535" s="13"/>
      <c r="F535" s="13"/>
      <c r="G535" s="13"/>
      <c r="H535" s="13"/>
      <c r="I535" s="13"/>
      <c r="J535" s="13"/>
      <c r="K535" s="13"/>
      <c r="L535" s="13"/>
      <c r="M535" s="13"/>
      <c r="N535" s="13"/>
      <c r="O535" s="13"/>
      <c r="P535" s="13"/>
      <c r="Q535" s="13"/>
      <c r="R535" s="13"/>
      <c r="S535" s="13"/>
      <c r="T535" s="13"/>
      <c r="U535" s="13"/>
      <c r="V535" s="13"/>
      <c r="W535" s="13"/>
    </row>
    <row r="536" ht="15.75" customHeight="1" spans="1:23">
      <c r="A536" s="13"/>
      <c r="B536" s="13"/>
      <c r="C536" s="13"/>
      <c r="D536" s="13"/>
      <c r="E536" s="13"/>
      <c r="F536" s="13"/>
      <c r="G536" s="13"/>
      <c r="H536" s="13"/>
      <c r="I536" s="13"/>
      <c r="J536" s="13"/>
      <c r="K536" s="13"/>
      <c r="L536" s="13"/>
      <c r="M536" s="13"/>
      <c r="N536" s="13"/>
      <c r="O536" s="13"/>
      <c r="P536" s="13"/>
      <c r="Q536" s="13"/>
      <c r="R536" s="13"/>
      <c r="S536" s="13"/>
      <c r="T536" s="13"/>
      <c r="U536" s="13"/>
      <c r="V536" s="13"/>
      <c r="W536" s="13"/>
    </row>
    <row r="537" ht="15.75" customHeight="1" spans="1:23">
      <c r="A537" s="13"/>
      <c r="B537" s="13"/>
      <c r="C537" s="13"/>
      <c r="D537" s="13"/>
      <c r="E537" s="13"/>
      <c r="F537" s="13"/>
      <c r="G537" s="13"/>
      <c r="H537" s="13"/>
      <c r="I537" s="13"/>
      <c r="J537" s="13"/>
      <c r="K537" s="13"/>
      <c r="L537" s="13"/>
      <c r="M537" s="13"/>
      <c r="N537" s="13"/>
      <c r="O537" s="13"/>
      <c r="P537" s="13"/>
      <c r="Q537" s="13"/>
      <c r="R537" s="13"/>
      <c r="S537" s="13"/>
      <c r="T537" s="13"/>
      <c r="U537" s="13"/>
      <c r="V537" s="13"/>
      <c r="W537" s="13"/>
    </row>
    <row r="538" ht="15.75" customHeight="1" spans="1:23">
      <c r="A538" s="13"/>
      <c r="B538" s="13"/>
      <c r="C538" s="13"/>
      <c r="D538" s="13"/>
      <c r="E538" s="13"/>
      <c r="F538" s="13"/>
      <c r="G538" s="13"/>
      <c r="H538" s="13"/>
      <c r="I538" s="13"/>
      <c r="J538" s="13"/>
      <c r="K538" s="13"/>
      <c r="L538" s="13"/>
      <c r="M538" s="13"/>
      <c r="N538" s="13"/>
      <c r="O538" s="13"/>
      <c r="P538" s="13"/>
      <c r="Q538" s="13"/>
      <c r="R538" s="13"/>
      <c r="S538" s="13"/>
      <c r="T538" s="13"/>
      <c r="U538" s="13"/>
      <c r="V538" s="13"/>
      <c r="W538" s="13"/>
    </row>
    <row r="539" ht="15.75" customHeight="1" spans="1:23">
      <c r="A539" s="13"/>
      <c r="B539" s="13"/>
      <c r="C539" s="13"/>
      <c r="D539" s="13"/>
      <c r="E539" s="13"/>
      <c r="F539" s="13"/>
      <c r="G539" s="13"/>
      <c r="H539" s="13"/>
      <c r="I539" s="13"/>
      <c r="J539" s="13"/>
      <c r="K539" s="13"/>
      <c r="L539" s="13"/>
      <c r="M539" s="13"/>
      <c r="N539" s="13"/>
      <c r="O539" s="13"/>
      <c r="P539" s="13"/>
      <c r="Q539" s="13"/>
      <c r="R539" s="13"/>
      <c r="S539" s="13"/>
      <c r="T539" s="13"/>
      <c r="U539" s="13"/>
      <c r="V539" s="13"/>
      <c r="W539" s="13"/>
    </row>
    <row r="540" ht="15.75" customHeight="1" spans="1:23">
      <c r="A540" s="13"/>
      <c r="B540" s="13"/>
      <c r="C540" s="13"/>
      <c r="D540" s="13"/>
      <c r="E540" s="13"/>
      <c r="F540" s="13"/>
      <c r="G540" s="13"/>
      <c r="H540" s="13"/>
      <c r="I540" s="13"/>
      <c r="J540" s="13"/>
      <c r="K540" s="13"/>
      <c r="L540" s="13"/>
      <c r="M540" s="13"/>
      <c r="N540" s="13"/>
      <c r="O540" s="13"/>
      <c r="P540" s="13"/>
      <c r="Q540" s="13"/>
      <c r="R540" s="13"/>
      <c r="S540" s="13"/>
      <c r="T540" s="13"/>
      <c r="U540" s="13"/>
      <c r="V540" s="13"/>
      <c r="W540" s="13"/>
    </row>
    <row r="541" ht="15.75" customHeight="1" spans="1:23">
      <c r="A541" s="13"/>
      <c r="B541" s="13"/>
      <c r="C541" s="13"/>
      <c r="D541" s="13"/>
      <c r="E541" s="13"/>
      <c r="F541" s="13"/>
      <c r="G541" s="13"/>
      <c r="H541" s="13"/>
      <c r="I541" s="13"/>
      <c r="J541" s="13"/>
      <c r="K541" s="13"/>
      <c r="L541" s="13"/>
      <c r="M541" s="13"/>
      <c r="N541" s="13"/>
      <c r="O541" s="13"/>
      <c r="P541" s="13"/>
      <c r="Q541" s="13"/>
      <c r="R541" s="13"/>
      <c r="S541" s="13"/>
      <c r="T541" s="13"/>
      <c r="U541" s="13"/>
      <c r="V541" s="13"/>
      <c r="W541" s="13"/>
    </row>
    <row r="542" ht="15.75" customHeight="1" spans="1:23">
      <c r="A542" s="13"/>
      <c r="B542" s="13"/>
      <c r="C542" s="13"/>
      <c r="D542" s="13"/>
      <c r="E542" s="13"/>
      <c r="F542" s="13"/>
      <c r="G542" s="13"/>
      <c r="H542" s="13"/>
      <c r="I542" s="13"/>
      <c r="J542" s="13"/>
      <c r="K542" s="13"/>
      <c r="L542" s="13"/>
      <c r="M542" s="13"/>
      <c r="N542" s="13"/>
      <c r="O542" s="13"/>
      <c r="P542" s="13"/>
      <c r="Q542" s="13"/>
      <c r="R542" s="13"/>
      <c r="S542" s="13"/>
      <c r="T542" s="13"/>
      <c r="U542" s="13"/>
      <c r="V542" s="13"/>
      <c r="W542" s="13"/>
    </row>
    <row r="543" ht="15.75" customHeight="1" spans="1:23">
      <c r="A543" s="13"/>
      <c r="B543" s="13"/>
      <c r="C543" s="13"/>
      <c r="D543" s="13"/>
      <c r="E543" s="13"/>
      <c r="F543" s="13"/>
      <c r="G543" s="13"/>
      <c r="H543" s="13"/>
      <c r="I543" s="13"/>
      <c r="J543" s="13"/>
      <c r="K543" s="13"/>
      <c r="L543" s="13"/>
      <c r="M543" s="13"/>
      <c r="N543" s="13"/>
      <c r="O543" s="13"/>
      <c r="P543" s="13"/>
      <c r="Q543" s="13"/>
      <c r="R543" s="13"/>
      <c r="S543" s="13"/>
      <c r="T543" s="13"/>
      <c r="U543" s="13"/>
      <c r="V543" s="13"/>
      <c r="W543" s="13"/>
    </row>
    <row r="544" ht="15.75" customHeight="1" spans="1:23">
      <c r="A544" s="13"/>
      <c r="B544" s="13"/>
      <c r="C544" s="13"/>
      <c r="D544" s="13"/>
      <c r="E544" s="13"/>
      <c r="F544" s="13"/>
      <c r="G544" s="13"/>
      <c r="H544" s="13"/>
      <c r="I544" s="13"/>
      <c r="J544" s="13"/>
      <c r="K544" s="13"/>
      <c r="L544" s="13"/>
      <c r="M544" s="13"/>
      <c r="N544" s="13"/>
      <c r="O544" s="13"/>
      <c r="P544" s="13"/>
      <c r="Q544" s="13"/>
      <c r="R544" s="13"/>
      <c r="S544" s="13"/>
      <c r="T544" s="13"/>
      <c r="U544" s="13"/>
      <c r="V544" s="13"/>
      <c r="W544" s="13"/>
    </row>
    <row r="545" ht="15.75" customHeight="1" spans="1:23">
      <c r="A545" s="13"/>
      <c r="B545" s="13"/>
      <c r="C545" s="13"/>
      <c r="D545" s="13"/>
      <c r="E545" s="13"/>
      <c r="F545" s="13"/>
      <c r="G545" s="13"/>
      <c r="H545" s="13"/>
      <c r="I545" s="13"/>
      <c r="J545" s="13"/>
      <c r="K545" s="13"/>
      <c r="L545" s="13"/>
      <c r="M545" s="13"/>
      <c r="N545" s="13"/>
      <c r="O545" s="13"/>
      <c r="P545" s="13"/>
      <c r="Q545" s="13"/>
      <c r="R545" s="13"/>
      <c r="S545" s="13"/>
      <c r="T545" s="13"/>
      <c r="U545" s="13"/>
      <c r="V545" s="13"/>
      <c r="W545" s="13"/>
    </row>
    <row r="546" ht="15.75" customHeight="1" spans="1:23">
      <c r="A546" s="13"/>
      <c r="B546" s="13"/>
      <c r="C546" s="13"/>
      <c r="D546" s="13"/>
      <c r="E546" s="13"/>
      <c r="F546" s="13"/>
      <c r="G546" s="13"/>
      <c r="H546" s="13"/>
      <c r="I546" s="13"/>
      <c r="J546" s="13"/>
      <c r="K546" s="13"/>
      <c r="L546" s="13"/>
      <c r="M546" s="13"/>
      <c r="N546" s="13"/>
      <c r="O546" s="13"/>
      <c r="P546" s="13"/>
      <c r="Q546" s="13"/>
      <c r="R546" s="13"/>
      <c r="S546" s="13"/>
      <c r="T546" s="13"/>
      <c r="U546" s="13"/>
      <c r="V546" s="13"/>
      <c r="W546" s="13"/>
    </row>
    <row r="547" ht="15.75" customHeight="1" spans="1:23">
      <c r="A547" s="13"/>
      <c r="B547" s="13"/>
      <c r="C547" s="13"/>
      <c r="D547" s="13"/>
      <c r="E547" s="13"/>
      <c r="F547" s="13"/>
      <c r="G547" s="13"/>
      <c r="H547" s="13"/>
      <c r="I547" s="13"/>
      <c r="J547" s="13"/>
      <c r="K547" s="13"/>
      <c r="L547" s="13"/>
      <c r="M547" s="13"/>
      <c r="N547" s="13"/>
      <c r="O547" s="13"/>
      <c r="P547" s="13"/>
      <c r="Q547" s="13"/>
      <c r="R547" s="13"/>
      <c r="S547" s="13"/>
      <c r="T547" s="13"/>
      <c r="U547" s="13"/>
      <c r="V547" s="13"/>
      <c r="W547" s="13"/>
    </row>
    <row r="548" ht="15.75" customHeight="1" spans="1:23">
      <c r="A548" s="13"/>
      <c r="B548" s="13"/>
      <c r="C548" s="13"/>
      <c r="D548" s="13"/>
      <c r="E548" s="13"/>
      <c r="F548" s="13"/>
      <c r="G548" s="13"/>
      <c r="H548" s="13"/>
      <c r="I548" s="13"/>
      <c r="J548" s="13"/>
      <c r="K548" s="13"/>
      <c r="L548" s="13"/>
      <c r="M548" s="13"/>
      <c r="N548" s="13"/>
      <c r="O548" s="13"/>
      <c r="P548" s="13"/>
      <c r="Q548" s="13"/>
      <c r="R548" s="13"/>
      <c r="S548" s="13"/>
      <c r="T548" s="13"/>
      <c r="U548" s="13"/>
      <c r="V548" s="13"/>
      <c r="W548" s="13"/>
    </row>
    <row r="549" ht="15.75" customHeight="1" spans="1:23">
      <c r="A549" s="13"/>
      <c r="B549" s="13"/>
      <c r="C549" s="13"/>
      <c r="D549" s="13"/>
      <c r="E549" s="13"/>
      <c r="F549" s="13"/>
      <c r="G549" s="13"/>
      <c r="H549" s="13"/>
      <c r="I549" s="13"/>
      <c r="J549" s="13"/>
      <c r="K549" s="13"/>
      <c r="L549" s="13"/>
      <c r="M549" s="13"/>
      <c r="N549" s="13"/>
      <c r="O549" s="13"/>
      <c r="P549" s="13"/>
      <c r="Q549" s="13"/>
      <c r="R549" s="13"/>
      <c r="S549" s="13"/>
      <c r="T549" s="13"/>
      <c r="U549" s="13"/>
      <c r="V549" s="13"/>
      <c r="W549" s="13"/>
    </row>
    <row r="550" ht="15.75" customHeight="1" spans="1:23">
      <c r="A550" s="13"/>
      <c r="B550" s="13"/>
      <c r="C550" s="13"/>
      <c r="D550" s="13"/>
      <c r="E550" s="13"/>
      <c r="F550" s="13"/>
      <c r="G550" s="13"/>
      <c r="H550" s="13"/>
      <c r="I550" s="13"/>
      <c r="J550" s="13"/>
      <c r="K550" s="13"/>
      <c r="L550" s="13"/>
      <c r="M550" s="13"/>
      <c r="N550" s="13"/>
      <c r="O550" s="13"/>
      <c r="P550" s="13"/>
      <c r="Q550" s="13"/>
      <c r="R550" s="13"/>
      <c r="S550" s="13"/>
      <c r="T550" s="13"/>
      <c r="U550" s="13"/>
      <c r="V550" s="13"/>
      <c r="W550" s="13"/>
    </row>
    <row r="551" ht="15.75" customHeight="1" spans="1:23">
      <c r="A551" s="13"/>
      <c r="B551" s="13"/>
      <c r="C551" s="13"/>
      <c r="D551" s="13"/>
      <c r="E551" s="13"/>
      <c r="F551" s="13"/>
      <c r="G551" s="13"/>
      <c r="H551" s="13"/>
      <c r="I551" s="13"/>
      <c r="J551" s="13"/>
      <c r="K551" s="13"/>
      <c r="L551" s="13"/>
      <c r="M551" s="13"/>
      <c r="N551" s="13"/>
      <c r="O551" s="13"/>
      <c r="P551" s="13"/>
      <c r="Q551" s="13"/>
      <c r="R551" s="13"/>
      <c r="S551" s="13"/>
      <c r="T551" s="13"/>
      <c r="U551" s="13"/>
      <c r="V551" s="13"/>
      <c r="W551" s="13"/>
    </row>
    <row r="552" ht="15.75" customHeight="1" spans="1:23">
      <c r="A552" s="13"/>
      <c r="B552" s="13"/>
      <c r="C552" s="13"/>
      <c r="D552" s="13"/>
      <c r="E552" s="13"/>
      <c r="F552" s="13"/>
      <c r="G552" s="13"/>
      <c r="H552" s="13"/>
      <c r="I552" s="13"/>
      <c r="J552" s="13"/>
      <c r="K552" s="13"/>
      <c r="L552" s="13"/>
      <c r="M552" s="13"/>
      <c r="N552" s="13"/>
      <c r="O552" s="13"/>
      <c r="P552" s="13"/>
      <c r="Q552" s="13"/>
      <c r="R552" s="13"/>
      <c r="S552" s="13"/>
      <c r="T552" s="13"/>
      <c r="U552" s="13"/>
      <c r="V552" s="13"/>
      <c r="W552" s="13"/>
    </row>
    <row r="553" ht="15.75" customHeight="1" spans="1:23">
      <c r="A553" s="13"/>
      <c r="B553" s="13"/>
      <c r="C553" s="13"/>
      <c r="D553" s="13"/>
      <c r="E553" s="13"/>
      <c r="F553" s="13"/>
      <c r="G553" s="13"/>
      <c r="H553" s="13"/>
      <c r="I553" s="13"/>
      <c r="J553" s="13"/>
      <c r="K553" s="13"/>
      <c r="L553" s="13"/>
      <c r="M553" s="13"/>
      <c r="N553" s="13"/>
      <c r="O553" s="13"/>
      <c r="P553" s="13"/>
      <c r="Q553" s="13"/>
      <c r="R553" s="13"/>
      <c r="S553" s="13"/>
      <c r="T553" s="13"/>
      <c r="U553" s="13"/>
      <c r="V553" s="13"/>
      <c r="W553" s="13"/>
    </row>
    <row r="554" ht="15.75" customHeight="1" spans="1:23">
      <c r="A554" s="13"/>
      <c r="B554" s="13"/>
      <c r="C554" s="13"/>
      <c r="D554" s="13"/>
      <c r="E554" s="13"/>
      <c r="F554" s="13"/>
      <c r="G554" s="13"/>
      <c r="H554" s="13"/>
      <c r="I554" s="13"/>
      <c r="J554" s="13"/>
      <c r="K554" s="13"/>
      <c r="L554" s="13"/>
      <c r="M554" s="13"/>
      <c r="N554" s="13"/>
      <c r="O554" s="13"/>
      <c r="P554" s="13"/>
      <c r="Q554" s="13"/>
      <c r="R554" s="13"/>
      <c r="S554" s="13"/>
      <c r="T554" s="13"/>
      <c r="U554" s="13"/>
      <c r="V554" s="13"/>
      <c r="W554" s="13"/>
    </row>
    <row r="555" ht="15.75" customHeight="1" spans="1:23">
      <c r="A555" s="13"/>
      <c r="B555" s="13"/>
      <c r="C555" s="13"/>
      <c r="D555" s="13"/>
      <c r="E555" s="13"/>
      <c r="F555" s="13"/>
      <c r="G555" s="13"/>
      <c r="H555" s="13"/>
      <c r="I555" s="13"/>
      <c r="J555" s="13"/>
      <c r="K555" s="13"/>
      <c r="L555" s="13"/>
      <c r="M555" s="13"/>
      <c r="N555" s="13"/>
      <c r="O555" s="13"/>
      <c r="P555" s="13"/>
      <c r="Q555" s="13"/>
      <c r="R555" s="13"/>
      <c r="S555" s="13"/>
      <c r="T555" s="13"/>
      <c r="U555" s="13"/>
      <c r="V555" s="13"/>
      <c r="W555" s="13"/>
    </row>
    <row r="556" ht="15.75" customHeight="1" spans="1:23">
      <c r="A556" s="13"/>
      <c r="B556" s="13"/>
      <c r="C556" s="13"/>
      <c r="D556" s="13"/>
      <c r="E556" s="13"/>
      <c r="F556" s="13"/>
      <c r="G556" s="13"/>
      <c r="H556" s="13"/>
      <c r="I556" s="13"/>
      <c r="J556" s="13"/>
      <c r="K556" s="13"/>
      <c r="L556" s="13"/>
      <c r="M556" s="13"/>
      <c r="N556" s="13"/>
      <c r="O556" s="13"/>
      <c r="P556" s="13"/>
      <c r="Q556" s="13"/>
      <c r="R556" s="13"/>
      <c r="S556" s="13"/>
      <c r="T556" s="13"/>
      <c r="U556" s="13"/>
      <c r="V556" s="13"/>
      <c r="W556" s="13"/>
    </row>
    <row r="557" ht="15.75" customHeight="1" spans="1:23">
      <c r="A557" s="13"/>
      <c r="B557" s="13"/>
      <c r="C557" s="13"/>
      <c r="D557" s="13"/>
      <c r="E557" s="13"/>
      <c r="F557" s="13"/>
      <c r="G557" s="13"/>
      <c r="H557" s="13"/>
      <c r="I557" s="13"/>
      <c r="J557" s="13"/>
      <c r="K557" s="13"/>
      <c r="L557" s="13"/>
      <c r="M557" s="13"/>
      <c r="N557" s="13"/>
      <c r="O557" s="13"/>
      <c r="P557" s="13"/>
      <c r="Q557" s="13"/>
      <c r="R557" s="13"/>
      <c r="S557" s="13"/>
      <c r="T557" s="13"/>
      <c r="U557" s="13"/>
      <c r="V557" s="13"/>
      <c r="W557" s="13"/>
    </row>
    <row r="558" ht="15.75" customHeight="1" spans="1:23">
      <c r="A558" s="13"/>
      <c r="B558" s="13"/>
      <c r="C558" s="13"/>
      <c r="D558" s="13"/>
      <c r="E558" s="13"/>
      <c r="F558" s="13"/>
      <c r="G558" s="13"/>
      <c r="H558" s="13"/>
      <c r="I558" s="13"/>
      <c r="J558" s="13"/>
      <c r="K558" s="13"/>
      <c r="L558" s="13"/>
      <c r="M558" s="13"/>
      <c r="N558" s="13"/>
      <c r="O558" s="13"/>
      <c r="P558" s="13"/>
      <c r="Q558" s="13"/>
      <c r="R558" s="13"/>
      <c r="S558" s="13"/>
      <c r="T558" s="13"/>
      <c r="U558" s="13"/>
      <c r="V558" s="13"/>
      <c r="W558" s="13"/>
    </row>
    <row r="559" ht="15.75" customHeight="1" spans="1:23">
      <c r="A559" s="13"/>
      <c r="B559" s="13"/>
      <c r="C559" s="13"/>
      <c r="D559" s="13"/>
      <c r="E559" s="13"/>
      <c r="F559" s="13"/>
      <c r="G559" s="13"/>
      <c r="H559" s="13"/>
      <c r="I559" s="13"/>
      <c r="J559" s="13"/>
      <c r="K559" s="13"/>
      <c r="L559" s="13"/>
      <c r="M559" s="13"/>
      <c r="N559" s="13"/>
      <c r="O559" s="13"/>
      <c r="P559" s="13"/>
      <c r="Q559" s="13"/>
      <c r="R559" s="13"/>
      <c r="S559" s="13"/>
      <c r="T559" s="13"/>
      <c r="U559" s="13"/>
      <c r="V559" s="13"/>
      <c r="W559" s="13"/>
    </row>
    <row r="560" ht="15.75" customHeight="1" spans="1:23">
      <c r="A560" s="13"/>
      <c r="B560" s="13"/>
      <c r="C560" s="13"/>
      <c r="D560" s="13"/>
      <c r="E560" s="13"/>
      <c r="F560" s="13"/>
      <c r="G560" s="13"/>
      <c r="H560" s="13"/>
      <c r="I560" s="13"/>
      <c r="J560" s="13"/>
      <c r="K560" s="13"/>
      <c r="L560" s="13"/>
      <c r="M560" s="13"/>
      <c r="N560" s="13"/>
      <c r="O560" s="13"/>
      <c r="P560" s="13"/>
      <c r="Q560" s="13"/>
      <c r="R560" s="13"/>
      <c r="S560" s="13"/>
      <c r="T560" s="13"/>
      <c r="U560" s="13"/>
      <c r="V560" s="13"/>
      <c r="W560" s="13"/>
    </row>
    <row r="561" ht="15.75" customHeight="1" spans="1:23">
      <c r="A561" s="13"/>
      <c r="B561" s="13"/>
      <c r="C561" s="13"/>
      <c r="D561" s="13"/>
      <c r="E561" s="13"/>
      <c r="F561" s="13"/>
      <c r="G561" s="13"/>
      <c r="H561" s="13"/>
      <c r="I561" s="13"/>
      <c r="J561" s="13"/>
      <c r="K561" s="13"/>
      <c r="L561" s="13"/>
      <c r="M561" s="13"/>
      <c r="N561" s="13"/>
      <c r="O561" s="13"/>
      <c r="P561" s="13"/>
      <c r="Q561" s="13"/>
      <c r="R561" s="13"/>
      <c r="S561" s="13"/>
      <c r="T561" s="13"/>
      <c r="U561" s="13"/>
      <c r="V561" s="13"/>
      <c r="W561" s="13"/>
    </row>
    <row r="562" ht="15.75" customHeight="1" spans="1:23">
      <c r="A562" s="13"/>
      <c r="B562" s="13"/>
      <c r="C562" s="13"/>
      <c r="D562" s="13"/>
      <c r="E562" s="13"/>
      <c r="F562" s="13"/>
      <c r="G562" s="13"/>
      <c r="H562" s="13"/>
      <c r="I562" s="13"/>
      <c r="J562" s="13"/>
      <c r="K562" s="13"/>
      <c r="L562" s="13"/>
      <c r="M562" s="13"/>
      <c r="N562" s="13"/>
      <c r="O562" s="13"/>
      <c r="P562" s="13"/>
      <c r="Q562" s="13"/>
      <c r="R562" s="13"/>
      <c r="S562" s="13"/>
      <c r="T562" s="13"/>
      <c r="U562" s="13"/>
      <c r="V562" s="13"/>
      <c r="W562" s="13"/>
    </row>
    <row r="563" ht="15.75" customHeight="1" spans="1:23">
      <c r="A563" s="13"/>
      <c r="B563" s="13"/>
      <c r="C563" s="13"/>
      <c r="D563" s="13"/>
      <c r="E563" s="13"/>
      <c r="F563" s="13"/>
      <c r="G563" s="13"/>
      <c r="H563" s="13"/>
      <c r="I563" s="13"/>
      <c r="J563" s="13"/>
      <c r="K563" s="13"/>
      <c r="L563" s="13"/>
      <c r="M563" s="13"/>
      <c r="N563" s="13"/>
      <c r="O563" s="13"/>
      <c r="P563" s="13"/>
      <c r="Q563" s="13"/>
      <c r="R563" s="13"/>
      <c r="S563" s="13"/>
      <c r="T563" s="13"/>
      <c r="U563" s="13"/>
      <c r="V563" s="13"/>
      <c r="W563" s="13"/>
    </row>
    <row r="564" ht="15.75" customHeight="1" spans="1:23">
      <c r="A564" s="13"/>
      <c r="B564" s="13"/>
      <c r="C564" s="13"/>
      <c r="D564" s="13"/>
      <c r="E564" s="13"/>
      <c r="F564" s="13"/>
      <c r="G564" s="13"/>
      <c r="H564" s="13"/>
      <c r="I564" s="13"/>
      <c r="J564" s="13"/>
      <c r="K564" s="13"/>
      <c r="L564" s="13"/>
      <c r="M564" s="13"/>
      <c r="N564" s="13"/>
      <c r="O564" s="13"/>
      <c r="P564" s="13"/>
      <c r="Q564" s="13"/>
      <c r="R564" s="13"/>
      <c r="S564" s="13"/>
      <c r="T564" s="13"/>
      <c r="U564" s="13"/>
      <c r="V564" s="13"/>
      <c r="W564" s="13"/>
    </row>
    <row r="565" ht="15.75" customHeight="1" spans="1:23">
      <c r="A565" s="13"/>
      <c r="B565" s="13"/>
      <c r="C565" s="13"/>
      <c r="D565" s="13"/>
      <c r="E565" s="13"/>
      <c r="F565" s="13"/>
      <c r="G565" s="13"/>
      <c r="H565" s="13"/>
      <c r="I565" s="13"/>
      <c r="J565" s="13"/>
      <c r="K565" s="13"/>
      <c r="L565" s="13"/>
      <c r="M565" s="13"/>
      <c r="N565" s="13"/>
      <c r="O565" s="13"/>
      <c r="P565" s="13"/>
      <c r="Q565" s="13"/>
      <c r="R565" s="13"/>
      <c r="S565" s="13"/>
      <c r="T565" s="13"/>
      <c r="U565" s="13"/>
      <c r="V565" s="13"/>
      <c r="W565" s="13"/>
    </row>
    <row r="566" ht="15.75" customHeight="1" spans="1:23">
      <c r="A566" s="13"/>
      <c r="B566" s="13"/>
      <c r="C566" s="13"/>
      <c r="D566" s="13"/>
      <c r="E566" s="13"/>
      <c r="F566" s="13"/>
      <c r="G566" s="13"/>
      <c r="H566" s="13"/>
      <c r="I566" s="13"/>
      <c r="J566" s="13"/>
      <c r="K566" s="13"/>
      <c r="L566" s="13"/>
      <c r="M566" s="13"/>
      <c r="N566" s="13"/>
      <c r="O566" s="13"/>
      <c r="P566" s="13"/>
      <c r="Q566" s="13"/>
      <c r="R566" s="13"/>
      <c r="S566" s="13"/>
      <c r="T566" s="13"/>
      <c r="U566" s="13"/>
      <c r="V566" s="13"/>
      <c r="W566" s="13"/>
    </row>
    <row r="567" ht="15.75" customHeight="1" spans="1:23">
      <c r="A567" s="13"/>
      <c r="B567" s="13"/>
      <c r="C567" s="13"/>
      <c r="D567" s="13"/>
      <c r="E567" s="13"/>
      <c r="F567" s="13"/>
      <c r="G567" s="13"/>
      <c r="H567" s="13"/>
      <c r="I567" s="13"/>
      <c r="J567" s="13"/>
      <c r="K567" s="13"/>
      <c r="L567" s="13"/>
      <c r="M567" s="13"/>
      <c r="N567" s="13"/>
      <c r="O567" s="13"/>
      <c r="P567" s="13"/>
      <c r="Q567" s="13"/>
      <c r="R567" s="13"/>
      <c r="S567" s="13"/>
      <c r="T567" s="13"/>
      <c r="U567" s="13"/>
      <c r="V567" s="13"/>
      <c r="W567" s="13"/>
    </row>
    <row r="568" ht="15.75" customHeight="1" spans="1:23">
      <c r="A568" s="13"/>
      <c r="B568" s="13"/>
      <c r="C568" s="13"/>
      <c r="D568" s="13"/>
      <c r="E568" s="13"/>
      <c r="F568" s="13"/>
      <c r="G568" s="13"/>
      <c r="H568" s="13"/>
      <c r="I568" s="13"/>
      <c r="J568" s="13"/>
      <c r="K568" s="13"/>
      <c r="L568" s="13"/>
      <c r="M568" s="13"/>
      <c r="N568" s="13"/>
      <c r="O568" s="13"/>
      <c r="P568" s="13"/>
      <c r="Q568" s="13"/>
      <c r="R568" s="13"/>
      <c r="S568" s="13"/>
      <c r="T568" s="13"/>
      <c r="U568" s="13"/>
      <c r="V568" s="13"/>
      <c r="W568" s="13"/>
    </row>
    <row r="569" ht="15.75" customHeight="1" spans="1:23">
      <c r="A569" s="13"/>
      <c r="B569" s="13"/>
      <c r="C569" s="13"/>
      <c r="D569" s="13"/>
      <c r="E569" s="13"/>
      <c r="F569" s="13"/>
      <c r="G569" s="13"/>
      <c r="H569" s="13"/>
      <c r="I569" s="13"/>
      <c r="J569" s="13"/>
      <c r="K569" s="13"/>
      <c r="L569" s="13"/>
      <c r="M569" s="13"/>
      <c r="N569" s="13"/>
      <c r="O569" s="13"/>
      <c r="P569" s="13"/>
      <c r="Q569" s="13"/>
      <c r="R569" s="13"/>
      <c r="S569" s="13"/>
      <c r="T569" s="13"/>
      <c r="U569" s="13"/>
      <c r="V569" s="13"/>
      <c r="W569" s="13"/>
    </row>
    <row r="570" ht="15.75" customHeight="1" spans="1:23">
      <c r="A570" s="13"/>
      <c r="B570" s="13"/>
      <c r="C570" s="13"/>
      <c r="D570" s="13"/>
      <c r="E570" s="13"/>
      <c r="F570" s="13"/>
      <c r="G570" s="13"/>
      <c r="H570" s="13"/>
      <c r="I570" s="13"/>
      <c r="J570" s="13"/>
      <c r="K570" s="13"/>
      <c r="L570" s="13"/>
      <c r="M570" s="13"/>
      <c r="N570" s="13"/>
      <c r="O570" s="13"/>
      <c r="P570" s="13"/>
      <c r="Q570" s="13"/>
      <c r="R570" s="13"/>
      <c r="S570" s="13"/>
      <c r="T570" s="13"/>
      <c r="U570" s="13"/>
      <c r="V570" s="13"/>
      <c r="W570" s="13"/>
    </row>
    <row r="571" ht="15.75" customHeight="1" spans="1:23">
      <c r="A571" s="13"/>
      <c r="B571" s="13"/>
      <c r="C571" s="13"/>
      <c r="D571" s="13"/>
      <c r="E571" s="13"/>
      <c r="F571" s="13"/>
      <c r="G571" s="13"/>
      <c r="H571" s="13"/>
      <c r="I571" s="13"/>
      <c r="J571" s="13"/>
      <c r="K571" s="13"/>
      <c r="L571" s="13"/>
      <c r="M571" s="13"/>
      <c r="N571" s="13"/>
      <c r="O571" s="13"/>
      <c r="P571" s="13"/>
      <c r="Q571" s="13"/>
      <c r="R571" s="13"/>
      <c r="S571" s="13"/>
      <c r="T571" s="13"/>
      <c r="U571" s="13"/>
      <c r="V571" s="13"/>
      <c r="W571" s="13"/>
    </row>
    <row r="572" ht="15.75" customHeight="1" spans="1:23">
      <c r="A572" s="13"/>
      <c r="B572" s="13"/>
      <c r="C572" s="13"/>
      <c r="D572" s="13"/>
      <c r="E572" s="13"/>
      <c r="F572" s="13"/>
      <c r="G572" s="13"/>
      <c r="H572" s="13"/>
      <c r="I572" s="13"/>
      <c r="J572" s="13"/>
      <c r="K572" s="13"/>
      <c r="L572" s="13"/>
      <c r="M572" s="13"/>
      <c r="N572" s="13"/>
      <c r="O572" s="13"/>
      <c r="P572" s="13"/>
      <c r="Q572" s="13"/>
      <c r="R572" s="13"/>
      <c r="S572" s="13"/>
      <c r="T572" s="13"/>
      <c r="U572" s="13"/>
      <c r="V572" s="13"/>
      <c r="W572" s="13"/>
    </row>
    <row r="573" ht="15.75" customHeight="1" spans="1:23">
      <c r="A573" s="13"/>
      <c r="B573" s="13"/>
      <c r="C573" s="13"/>
      <c r="D573" s="13"/>
      <c r="E573" s="13"/>
      <c r="F573" s="13"/>
      <c r="G573" s="13"/>
      <c r="H573" s="13"/>
      <c r="I573" s="13"/>
      <c r="J573" s="13"/>
      <c r="K573" s="13"/>
      <c r="L573" s="13"/>
      <c r="M573" s="13"/>
      <c r="N573" s="13"/>
      <c r="O573" s="13"/>
      <c r="P573" s="13"/>
      <c r="Q573" s="13"/>
      <c r="R573" s="13"/>
      <c r="S573" s="13"/>
      <c r="T573" s="13"/>
      <c r="U573" s="13"/>
      <c r="V573" s="13"/>
      <c r="W573" s="13"/>
    </row>
    <row r="574" ht="15.75" customHeight="1" spans="1:23">
      <c r="A574" s="13"/>
      <c r="B574" s="13"/>
      <c r="C574" s="13"/>
      <c r="D574" s="13"/>
      <c r="E574" s="13"/>
      <c r="F574" s="13"/>
      <c r="G574" s="13"/>
      <c r="H574" s="13"/>
      <c r="I574" s="13"/>
      <c r="J574" s="13"/>
      <c r="K574" s="13"/>
      <c r="L574" s="13"/>
      <c r="M574" s="13"/>
      <c r="N574" s="13"/>
      <c r="O574" s="13"/>
      <c r="P574" s="13"/>
      <c r="Q574" s="13"/>
      <c r="R574" s="13"/>
      <c r="S574" s="13"/>
      <c r="T574" s="13"/>
      <c r="U574" s="13"/>
      <c r="V574" s="13"/>
      <c r="W574" s="13"/>
    </row>
    <row r="575" ht="15.75" customHeight="1" spans="1:23">
      <c r="A575" s="13"/>
      <c r="B575" s="13"/>
      <c r="C575" s="13"/>
      <c r="D575" s="13"/>
      <c r="E575" s="13"/>
      <c r="F575" s="13"/>
      <c r="G575" s="13"/>
      <c r="H575" s="13"/>
      <c r="I575" s="13"/>
      <c r="J575" s="13"/>
      <c r="K575" s="13"/>
      <c r="L575" s="13"/>
      <c r="M575" s="13"/>
      <c r="N575" s="13"/>
      <c r="O575" s="13"/>
      <c r="P575" s="13"/>
      <c r="Q575" s="13"/>
      <c r="R575" s="13"/>
      <c r="S575" s="13"/>
      <c r="T575" s="13"/>
      <c r="U575" s="13"/>
      <c r="V575" s="13"/>
      <c r="W575" s="13"/>
    </row>
    <row r="576" ht="15.75" customHeight="1" spans="1:23">
      <c r="A576" s="13"/>
      <c r="B576" s="13"/>
      <c r="C576" s="13"/>
      <c r="D576" s="13"/>
      <c r="E576" s="13"/>
      <c r="F576" s="13"/>
      <c r="G576" s="13"/>
      <c r="H576" s="13"/>
      <c r="I576" s="13"/>
      <c r="J576" s="13"/>
      <c r="K576" s="13"/>
      <c r="L576" s="13"/>
      <c r="M576" s="13"/>
      <c r="N576" s="13"/>
      <c r="O576" s="13"/>
      <c r="P576" s="13"/>
      <c r="Q576" s="13"/>
      <c r="R576" s="13"/>
      <c r="S576" s="13"/>
      <c r="T576" s="13"/>
      <c r="U576" s="13"/>
      <c r="V576" s="13"/>
      <c r="W576" s="13"/>
    </row>
    <row r="577" ht="15.75" customHeight="1" spans="1:23">
      <c r="A577" s="13"/>
      <c r="B577" s="13"/>
      <c r="C577" s="13"/>
      <c r="D577" s="13"/>
      <c r="E577" s="13"/>
      <c r="F577" s="13"/>
      <c r="G577" s="13"/>
      <c r="H577" s="13"/>
      <c r="I577" s="13"/>
      <c r="J577" s="13"/>
      <c r="K577" s="13"/>
      <c r="L577" s="13"/>
      <c r="M577" s="13"/>
      <c r="N577" s="13"/>
      <c r="O577" s="13"/>
      <c r="P577" s="13"/>
      <c r="Q577" s="13"/>
      <c r="R577" s="13"/>
      <c r="S577" s="13"/>
      <c r="T577" s="13"/>
      <c r="U577" s="13"/>
      <c r="V577" s="13"/>
      <c r="W577" s="13"/>
    </row>
    <row r="578" ht="15.75" customHeight="1" spans="1:23">
      <c r="A578" s="13"/>
      <c r="B578" s="13"/>
      <c r="C578" s="13"/>
      <c r="D578" s="13"/>
      <c r="E578" s="13"/>
      <c r="F578" s="13"/>
      <c r="G578" s="13"/>
      <c r="H578" s="13"/>
      <c r="I578" s="13"/>
      <c r="J578" s="13"/>
      <c r="K578" s="13"/>
      <c r="L578" s="13"/>
      <c r="M578" s="13"/>
      <c r="N578" s="13"/>
      <c r="O578" s="13"/>
      <c r="P578" s="13"/>
      <c r="Q578" s="13"/>
      <c r="R578" s="13"/>
      <c r="S578" s="13"/>
      <c r="T578" s="13"/>
      <c r="U578" s="13"/>
      <c r="V578" s="13"/>
      <c r="W578" s="13"/>
    </row>
    <row r="579" ht="15.75" customHeight="1" spans="1:23">
      <c r="A579" s="13"/>
      <c r="B579" s="13"/>
      <c r="C579" s="13"/>
      <c r="D579" s="13"/>
      <c r="E579" s="13"/>
      <c r="F579" s="13"/>
      <c r="G579" s="13"/>
      <c r="H579" s="13"/>
      <c r="I579" s="13"/>
      <c r="J579" s="13"/>
      <c r="K579" s="13"/>
      <c r="L579" s="13"/>
      <c r="M579" s="13"/>
      <c r="N579" s="13"/>
      <c r="O579" s="13"/>
      <c r="P579" s="13"/>
      <c r="Q579" s="13"/>
      <c r="R579" s="13"/>
      <c r="S579" s="13"/>
      <c r="T579" s="13"/>
      <c r="U579" s="13"/>
      <c r="V579" s="13"/>
      <c r="W579" s="13"/>
    </row>
    <row r="580" ht="15.75" customHeight="1" spans="1:23">
      <c r="A580" s="13"/>
      <c r="B580" s="13"/>
      <c r="C580" s="13"/>
      <c r="D580" s="13"/>
      <c r="E580" s="13"/>
      <c r="F580" s="13"/>
      <c r="G580" s="13"/>
      <c r="H580" s="13"/>
      <c r="I580" s="13"/>
      <c r="J580" s="13"/>
      <c r="K580" s="13"/>
      <c r="L580" s="13"/>
      <c r="M580" s="13"/>
      <c r="N580" s="13"/>
      <c r="O580" s="13"/>
      <c r="P580" s="13"/>
      <c r="Q580" s="13"/>
      <c r="R580" s="13"/>
      <c r="S580" s="13"/>
      <c r="T580" s="13"/>
      <c r="U580" s="13"/>
      <c r="V580" s="13"/>
      <c r="W580" s="13"/>
    </row>
    <row r="581" ht="15.75" customHeight="1" spans="1:23">
      <c r="A581" s="13"/>
      <c r="B581" s="13"/>
      <c r="C581" s="13"/>
      <c r="D581" s="13"/>
      <c r="E581" s="13"/>
      <c r="F581" s="13"/>
      <c r="G581" s="13"/>
      <c r="H581" s="13"/>
      <c r="I581" s="13"/>
      <c r="J581" s="13"/>
      <c r="K581" s="13"/>
      <c r="L581" s="13"/>
      <c r="M581" s="13"/>
      <c r="N581" s="13"/>
      <c r="O581" s="13"/>
      <c r="P581" s="13"/>
      <c r="Q581" s="13"/>
      <c r="R581" s="13"/>
      <c r="S581" s="13"/>
      <c r="T581" s="13"/>
      <c r="U581" s="13"/>
      <c r="V581" s="13"/>
      <c r="W581" s="13"/>
    </row>
    <row r="582" ht="15.75" customHeight="1" spans="1:23">
      <c r="A582" s="13"/>
      <c r="B582" s="13"/>
      <c r="C582" s="13"/>
      <c r="D582" s="13"/>
      <c r="E582" s="13"/>
      <c r="F582" s="13"/>
      <c r="G582" s="13"/>
      <c r="H582" s="13"/>
      <c r="I582" s="13"/>
      <c r="J582" s="13"/>
      <c r="K582" s="13"/>
      <c r="L582" s="13"/>
      <c r="M582" s="13"/>
      <c r="N582" s="13"/>
      <c r="O582" s="13"/>
      <c r="P582" s="13"/>
      <c r="Q582" s="13"/>
      <c r="R582" s="13"/>
      <c r="S582" s="13"/>
      <c r="T582" s="13"/>
      <c r="U582" s="13"/>
      <c r="V582" s="13"/>
      <c r="W582" s="13"/>
    </row>
    <row r="583" ht="15.75" customHeight="1" spans="1:23">
      <c r="A583" s="13"/>
      <c r="B583" s="13"/>
      <c r="C583" s="13"/>
      <c r="D583" s="13"/>
      <c r="E583" s="13"/>
      <c r="F583" s="13"/>
      <c r="G583" s="13"/>
      <c r="H583" s="13"/>
      <c r="I583" s="13"/>
      <c r="J583" s="13"/>
      <c r="K583" s="13"/>
      <c r="L583" s="13"/>
      <c r="M583" s="13"/>
      <c r="N583" s="13"/>
      <c r="O583" s="13"/>
      <c r="P583" s="13"/>
      <c r="Q583" s="13"/>
      <c r="R583" s="13"/>
      <c r="S583" s="13"/>
      <c r="T583" s="13"/>
      <c r="U583" s="13"/>
      <c r="V583" s="13"/>
      <c r="W583" s="13"/>
    </row>
    <row r="584" ht="15.75" customHeight="1" spans="1:23">
      <c r="A584" s="13"/>
      <c r="B584" s="13"/>
      <c r="C584" s="13"/>
      <c r="D584" s="13"/>
      <c r="E584" s="13"/>
      <c r="F584" s="13"/>
      <c r="G584" s="13"/>
      <c r="H584" s="13"/>
      <c r="I584" s="13"/>
      <c r="J584" s="13"/>
      <c r="K584" s="13"/>
      <c r="L584" s="13"/>
      <c r="M584" s="13"/>
      <c r="N584" s="13"/>
      <c r="O584" s="13"/>
      <c r="P584" s="13"/>
      <c r="Q584" s="13"/>
      <c r="R584" s="13"/>
      <c r="S584" s="13"/>
      <c r="T584" s="13"/>
      <c r="U584" s="13"/>
      <c r="V584" s="13"/>
      <c r="W584" s="13"/>
    </row>
    <row r="585" ht="15.75" customHeight="1" spans="1:23">
      <c r="A585" s="13"/>
      <c r="B585" s="13"/>
      <c r="C585" s="13"/>
      <c r="D585" s="13"/>
      <c r="E585" s="13"/>
      <c r="F585" s="13"/>
      <c r="G585" s="13"/>
      <c r="H585" s="13"/>
      <c r="I585" s="13"/>
      <c r="J585" s="13"/>
      <c r="K585" s="13"/>
      <c r="L585" s="13"/>
      <c r="M585" s="13"/>
      <c r="N585" s="13"/>
      <c r="O585" s="13"/>
      <c r="P585" s="13"/>
      <c r="Q585" s="13"/>
      <c r="R585" s="13"/>
      <c r="S585" s="13"/>
      <c r="T585" s="13"/>
      <c r="U585" s="13"/>
      <c r="V585" s="13"/>
      <c r="W585" s="13"/>
    </row>
    <row r="586" ht="15.75" customHeight="1" spans="1:23">
      <c r="A586" s="13"/>
      <c r="B586" s="13"/>
      <c r="C586" s="13"/>
      <c r="D586" s="13"/>
      <c r="E586" s="13"/>
      <c r="F586" s="13"/>
      <c r="G586" s="13"/>
      <c r="H586" s="13"/>
      <c r="I586" s="13"/>
      <c r="J586" s="13"/>
      <c r="K586" s="13"/>
      <c r="L586" s="13"/>
      <c r="M586" s="13"/>
      <c r="N586" s="13"/>
      <c r="O586" s="13"/>
      <c r="P586" s="13"/>
      <c r="Q586" s="13"/>
      <c r="R586" s="13"/>
      <c r="S586" s="13"/>
      <c r="T586" s="13"/>
      <c r="U586" s="13"/>
      <c r="V586" s="13"/>
      <c r="W586" s="13"/>
    </row>
    <row r="587" ht="15.75" customHeight="1" spans="1:23">
      <c r="A587" s="13"/>
      <c r="B587" s="13"/>
      <c r="C587" s="13"/>
      <c r="D587" s="13"/>
      <c r="E587" s="13"/>
      <c r="F587" s="13"/>
      <c r="G587" s="13"/>
      <c r="H587" s="13"/>
      <c r="I587" s="13"/>
      <c r="J587" s="13"/>
      <c r="K587" s="13"/>
      <c r="L587" s="13"/>
      <c r="M587" s="13"/>
      <c r="N587" s="13"/>
      <c r="O587" s="13"/>
      <c r="P587" s="13"/>
      <c r="Q587" s="13"/>
      <c r="R587" s="13"/>
      <c r="S587" s="13"/>
      <c r="T587" s="13"/>
      <c r="U587" s="13"/>
      <c r="V587" s="13"/>
      <c r="W587" s="13"/>
    </row>
    <row r="588" ht="15.75" customHeight="1" spans="1:23">
      <c r="A588" s="13"/>
      <c r="B588" s="13"/>
      <c r="C588" s="13"/>
      <c r="D588" s="13"/>
      <c r="E588" s="13"/>
      <c r="F588" s="13"/>
      <c r="G588" s="13"/>
      <c r="H588" s="13"/>
      <c r="I588" s="13"/>
      <c r="J588" s="13"/>
      <c r="K588" s="13"/>
      <c r="L588" s="13"/>
      <c r="M588" s="13"/>
      <c r="N588" s="13"/>
      <c r="O588" s="13"/>
      <c r="P588" s="13"/>
      <c r="Q588" s="13"/>
      <c r="R588" s="13"/>
      <c r="S588" s="13"/>
      <c r="T588" s="13"/>
      <c r="U588" s="13"/>
      <c r="V588" s="13"/>
      <c r="W588" s="13"/>
    </row>
    <row r="589" ht="15.75" customHeight="1" spans="1:23">
      <c r="A589" s="13"/>
      <c r="B589" s="13"/>
      <c r="C589" s="13"/>
      <c r="D589" s="13"/>
      <c r="E589" s="13"/>
      <c r="F589" s="13"/>
      <c r="G589" s="13"/>
      <c r="H589" s="13"/>
      <c r="I589" s="13"/>
      <c r="J589" s="13"/>
      <c r="K589" s="13"/>
      <c r="L589" s="13"/>
      <c r="M589" s="13"/>
      <c r="N589" s="13"/>
      <c r="O589" s="13"/>
      <c r="P589" s="13"/>
      <c r="Q589" s="13"/>
      <c r="R589" s="13"/>
      <c r="S589" s="13"/>
      <c r="T589" s="13"/>
      <c r="U589" s="13"/>
      <c r="V589" s="13"/>
      <c r="W589" s="13"/>
    </row>
    <row r="590" ht="15.75" customHeight="1" spans="1:23">
      <c r="A590" s="13"/>
      <c r="B590" s="13"/>
      <c r="C590" s="13"/>
      <c r="D590" s="13"/>
      <c r="E590" s="13"/>
      <c r="F590" s="13"/>
      <c r="G590" s="13"/>
      <c r="H590" s="13"/>
      <c r="I590" s="13"/>
      <c r="J590" s="13"/>
      <c r="K590" s="13"/>
      <c r="L590" s="13"/>
      <c r="M590" s="13"/>
      <c r="N590" s="13"/>
      <c r="O590" s="13"/>
      <c r="P590" s="13"/>
      <c r="Q590" s="13"/>
      <c r="R590" s="13"/>
      <c r="S590" s="13"/>
      <c r="T590" s="13"/>
      <c r="U590" s="13"/>
      <c r="V590" s="13"/>
      <c r="W590" s="13"/>
    </row>
    <row r="591" ht="15.75" customHeight="1" spans="1:23">
      <c r="A591" s="13"/>
      <c r="B591" s="13"/>
      <c r="C591" s="13"/>
      <c r="D591" s="13"/>
      <c r="E591" s="13"/>
      <c r="F591" s="13"/>
      <c r="G591" s="13"/>
      <c r="H591" s="13"/>
      <c r="I591" s="13"/>
      <c r="J591" s="13"/>
      <c r="K591" s="13"/>
      <c r="L591" s="13"/>
      <c r="M591" s="13"/>
      <c r="N591" s="13"/>
      <c r="O591" s="13"/>
      <c r="P591" s="13"/>
      <c r="Q591" s="13"/>
      <c r="R591" s="13"/>
      <c r="S591" s="13"/>
      <c r="T591" s="13"/>
      <c r="U591" s="13"/>
      <c r="V591" s="13"/>
      <c r="W591" s="13"/>
    </row>
    <row r="592" ht="15.75" customHeight="1" spans="1:23">
      <c r="A592" s="13"/>
      <c r="B592" s="13"/>
      <c r="C592" s="13"/>
      <c r="D592" s="13"/>
      <c r="E592" s="13"/>
      <c r="F592" s="13"/>
      <c r="G592" s="13"/>
      <c r="H592" s="13"/>
      <c r="I592" s="13"/>
      <c r="J592" s="13"/>
      <c r="K592" s="13"/>
      <c r="L592" s="13"/>
      <c r="M592" s="13"/>
      <c r="N592" s="13"/>
      <c r="O592" s="13"/>
      <c r="P592" s="13"/>
      <c r="Q592" s="13"/>
      <c r="R592" s="13"/>
      <c r="S592" s="13"/>
      <c r="T592" s="13"/>
      <c r="U592" s="13"/>
      <c r="V592" s="13"/>
      <c r="W592" s="13"/>
    </row>
    <row r="593" ht="15.75" customHeight="1" spans="1:23">
      <c r="A593" s="13"/>
      <c r="B593" s="13"/>
      <c r="C593" s="13"/>
      <c r="D593" s="13"/>
      <c r="E593" s="13"/>
      <c r="F593" s="13"/>
      <c r="G593" s="13"/>
      <c r="H593" s="13"/>
      <c r="I593" s="13"/>
      <c r="J593" s="13"/>
      <c r="K593" s="13"/>
      <c r="L593" s="13"/>
      <c r="M593" s="13"/>
      <c r="N593" s="13"/>
      <c r="O593" s="13"/>
      <c r="P593" s="13"/>
      <c r="Q593" s="13"/>
      <c r="R593" s="13"/>
      <c r="S593" s="13"/>
      <c r="T593" s="13"/>
      <c r="U593" s="13"/>
      <c r="V593" s="13"/>
      <c r="W593" s="13"/>
    </row>
    <row r="594" ht="15.75" customHeight="1" spans="1:23">
      <c r="A594" s="13"/>
      <c r="B594" s="13"/>
      <c r="C594" s="13"/>
      <c r="D594" s="13"/>
      <c r="E594" s="13"/>
      <c r="F594" s="13"/>
      <c r="G594" s="13"/>
      <c r="H594" s="13"/>
      <c r="I594" s="13"/>
      <c r="J594" s="13"/>
      <c r="K594" s="13"/>
      <c r="L594" s="13"/>
      <c r="M594" s="13"/>
      <c r="N594" s="13"/>
      <c r="O594" s="13"/>
      <c r="P594" s="13"/>
      <c r="Q594" s="13"/>
      <c r="R594" s="13"/>
      <c r="S594" s="13"/>
      <c r="T594" s="13"/>
      <c r="U594" s="13"/>
      <c r="V594" s="13"/>
      <c r="W594" s="13"/>
    </row>
    <row r="595" ht="15.75" customHeight="1" spans="1:23">
      <c r="A595" s="13"/>
      <c r="B595" s="13"/>
      <c r="C595" s="13"/>
      <c r="D595" s="13"/>
      <c r="E595" s="13"/>
      <c r="F595" s="13"/>
      <c r="G595" s="13"/>
      <c r="H595" s="13"/>
      <c r="I595" s="13"/>
      <c r="J595" s="13"/>
      <c r="K595" s="13"/>
      <c r="L595" s="13"/>
      <c r="M595" s="13"/>
      <c r="N595" s="13"/>
      <c r="O595" s="13"/>
      <c r="P595" s="13"/>
      <c r="Q595" s="13"/>
      <c r="R595" s="13"/>
      <c r="S595" s="13"/>
      <c r="T595" s="13"/>
      <c r="U595" s="13"/>
      <c r="V595" s="13"/>
      <c r="W595" s="13"/>
    </row>
    <row r="596" ht="15.75" customHeight="1" spans="1:23">
      <c r="A596" s="13"/>
      <c r="B596" s="13"/>
      <c r="C596" s="13"/>
      <c r="D596" s="13"/>
      <c r="E596" s="13"/>
      <c r="F596" s="13"/>
      <c r="G596" s="13"/>
      <c r="H596" s="13"/>
      <c r="I596" s="13"/>
      <c r="J596" s="13"/>
      <c r="K596" s="13"/>
      <c r="L596" s="13"/>
      <c r="M596" s="13"/>
      <c r="N596" s="13"/>
      <c r="O596" s="13"/>
      <c r="P596" s="13"/>
      <c r="Q596" s="13"/>
      <c r="R596" s="13"/>
      <c r="S596" s="13"/>
      <c r="T596" s="13"/>
      <c r="U596" s="13"/>
      <c r="V596" s="13"/>
      <c r="W596" s="13"/>
    </row>
    <row r="597" ht="15.75" customHeight="1" spans="1:23">
      <c r="A597" s="13"/>
      <c r="B597" s="13"/>
      <c r="C597" s="13"/>
      <c r="D597" s="13"/>
      <c r="E597" s="13"/>
      <c r="F597" s="13"/>
      <c r="G597" s="13"/>
      <c r="H597" s="13"/>
      <c r="I597" s="13"/>
      <c r="J597" s="13"/>
      <c r="K597" s="13"/>
      <c r="L597" s="13"/>
      <c r="M597" s="13"/>
      <c r="N597" s="13"/>
      <c r="O597" s="13"/>
      <c r="P597" s="13"/>
      <c r="Q597" s="13"/>
      <c r="R597" s="13"/>
      <c r="S597" s="13"/>
      <c r="T597" s="13"/>
      <c r="U597" s="13"/>
      <c r="V597" s="13"/>
      <c r="W597" s="13"/>
    </row>
    <row r="598" ht="15.75" customHeight="1" spans="1:23">
      <c r="A598" s="13"/>
      <c r="B598" s="13"/>
      <c r="C598" s="13"/>
      <c r="D598" s="13"/>
      <c r="E598" s="13"/>
      <c r="F598" s="13"/>
      <c r="G598" s="13"/>
      <c r="H598" s="13"/>
      <c r="I598" s="13"/>
      <c r="J598" s="13"/>
      <c r="K598" s="13"/>
      <c r="L598" s="13"/>
      <c r="M598" s="13"/>
      <c r="N598" s="13"/>
      <c r="O598" s="13"/>
      <c r="P598" s="13"/>
      <c r="Q598" s="13"/>
      <c r="R598" s="13"/>
      <c r="S598" s="13"/>
      <c r="T598" s="13"/>
      <c r="U598" s="13"/>
      <c r="V598" s="13"/>
      <c r="W598" s="13"/>
    </row>
    <row r="599" ht="15.75" customHeight="1" spans="1:23">
      <c r="A599" s="13"/>
      <c r="B599" s="13"/>
      <c r="C599" s="13"/>
      <c r="D599" s="13"/>
      <c r="E599" s="13"/>
      <c r="F599" s="13"/>
      <c r="G599" s="13"/>
      <c r="H599" s="13"/>
      <c r="I599" s="13"/>
      <c r="J599" s="13"/>
      <c r="K599" s="13"/>
      <c r="L599" s="13"/>
      <c r="M599" s="13"/>
      <c r="N599" s="13"/>
      <c r="O599" s="13"/>
      <c r="P599" s="13"/>
      <c r="Q599" s="13"/>
      <c r="R599" s="13"/>
      <c r="S599" s="13"/>
      <c r="T599" s="13"/>
      <c r="U599" s="13"/>
      <c r="V599" s="13"/>
      <c r="W599" s="13"/>
    </row>
    <row r="600" ht="15.75" customHeight="1" spans="1:23">
      <c r="A600" s="13"/>
      <c r="B600" s="13"/>
      <c r="C600" s="13"/>
      <c r="D600" s="13"/>
      <c r="E600" s="13"/>
      <c r="F600" s="13"/>
      <c r="G600" s="13"/>
      <c r="H600" s="13"/>
      <c r="I600" s="13"/>
      <c r="J600" s="13"/>
      <c r="K600" s="13"/>
      <c r="L600" s="13"/>
      <c r="M600" s="13"/>
      <c r="N600" s="13"/>
      <c r="O600" s="13"/>
      <c r="P600" s="13"/>
      <c r="Q600" s="13"/>
      <c r="R600" s="13"/>
      <c r="S600" s="13"/>
      <c r="T600" s="13"/>
      <c r="U600" s="13"/>
      <c r="V600" s="13"/>
      <c r="W600" s="13"/>
    </row>
    <row r="601" ht="15.75" customHeight="1" spans="1:23">
      <c r="A601" s="13"/>
      <c r="B601" s="13"/>
      <c r="C601" s="13"/>
      <c r="D601" s="13"/>
      <c r="E601" s="13"/>
      <c r="F601" s="13"/>
      <c r="G601" s="13"/>
      <c r="H601" s="13"/>
      <c r="I601" s="13"/>
      <c r="J601" s="13"/>
      <c r="K601" s="13"/>
      <c r="L601" s="13"/>
      <c r="M601" s="13"/>
      <c r="N601" s="13"/>
      <c r="O601" s="13"/>
      <c r="P601" s="13"/>
      <c r="Q601" s="13"/>
      <c r="R601" s="13"/>
      <c r="S601" s="13"/>
      <c r="T601" s="13"/>
      <c r="U601" s="13"/>
      <c r="V601" s="13"/>
      <c r="W601" s="13"/>
    </row>
    <row r="602" ht="15.75" customHeight="1" spans="1:23">
      <c r="A602" s="13"/>
      <c r="B602" s="13"/>
      <c r="C602" s="13"/>
      <c r="D602" s="13"/>
      <c r="E602" s="13"/>
      <c r="F602" s="13"/>
      <c r="G602" s="13"/>
      <c r="H602" s="13"/>
      <c r="I602" s="13"/>
      <c r="J602" s="13"/>
      <c r="K602" s="13"/>
      <c r="L602" s="13"/>
      <c r="M602" s="13"/>
      <c r="N602" s="13"/>
      <c r="O602" s="13"/>
      <c r="P602" s="13"/>
      <c r="Q602" s="13"/>
      <c r="R602" s="13"/>
      <c r="S602" s="13"/>
      <c r="T602" s="13"/>
      <c r="U602" s="13"/>
      <c r="V602" s="13"/>
      <c r="W602" s="13"/>
    </row>
    <row r="603" ht="15.75" customHeight="1" spans="1:23">
      <c r="A603" s="13"/>
      <c r="B603" s="13"/>
      <c r="C603" s="13"/>
      <c r="D603" s="13"/>
      <c r="E603" s="13"/>
      <c r="F603" s="13"/>
      <c r="G603" s="13"/>
      <c r="H603" s="13"/>
      <c r="I603" s="13"/>
      <c r="J603" s="13"/>
      <c r="K603" s="13"/>
      <c r="L603" s="13"/>
      <c r="M603" s="13"/>
      <c r="N603" s="13"/>
      <c r="O603" s="13"/>
      <c r="P603" s="13"/>
      <c r="Q603" s="13"/>
      <c r="R603" s="13"/>
      <c r="S603" s="13"/>
      <c r="T603" s="13"/>
      <c r="U603" s="13"/>
      <c r="V603" s="13"/>
      <c r="W603" s="13"/>
    </row>
    <row r="604" ht="15.75" customHeight="1" spans="1:23">
      <c r="A604" s="13"/>
      <c r="B604" s="13"/>
      <c r="C604" s="13"/>
      <c r="D604" s="13"/>
      <c r="E604" s="13"/>
      <c r="F604" s="13"/>
      <c r="G604" s="13"/>
      <c r="H604" s="13"/>
      <c r="I604" s="13"/>
      <c r="J604" s="13"/>
      <c r="K604" s="13"/>
      <c r="L604" s="13"/>
      <c r="M604" s="13"/>
      <c r="N604" s="13"/>
      <c r="O604" s="13"/>
      <c r="P604" s="13"/>
      <c r="Q604" s="13"/>
      <c r="R604" s="13"/>
      <c r="S604" s="13"/>
      <c r="T604" s="13"/>
      <c r="U604" s="13"/>
      <c r="V604" s="13"/>
      <c r="W604" s="13"/>
    </row>
    <row r="605" ht="15.75" customHeight="1" spans="1:23">
      <c r="A605" s="13"/>
      <c r="B605" s="13"/>
      <c r="C605" s="13"/>
      <c r="D605" s="13"/>
      <c r="E605" s="13"/>
      <c r="F605" s="13"/>
      <c r="G605" s="13"/>
      <c r="H605" s="13"/>
      <c r="I605" s="13"/>
      <c r="J605" s="13"/>
      <c r="K605" s="13"/>
      <c r="L605" s="13"/>
      <c r="M605" s="13"/>
      <c r="N605" s="13"/>
      <c r="O605" s="13"/>
      <c r="P605" s="13"/>
      <c r="Q605" s="13"/>
      <c r="R605" s="13"/>
      <c r="S605" s="13"/>
      <c r="T605" s="13"/>
      <c r="U605" s="13"/>
      <c r="V605" s="13"/>
      <c r="W605" s="13"/>
    </row>
    <row r="606" ht="15.75" customHeight="1" spans="1:23">
      <c r="A606" s="13"/>
      <c r="B606" s="13"/>
      <c r="C606" s="13"/>
      <c r="D606" s="13"/>
      <c r="E606" s="13"/>
      <c r="F606" s="13"/>
      <c r="G606" s="13"/>
      <c r="H606" s="13"/>
      <c r="I606" s="13"/>
      <c r="J606" s="13"/>
      <c r="K606" s="13"/>
      <c r="L606" s="13"/>
      <c r="M606" s="13"/>
      <c r="N606" s="13"/>
      <c r="O606" s="13"/>
      <c r="P606" s="13"/>
      <c r="Q606" s="13"/>
      <c r="R606" s="13"/>
      <c r="S606" s="13"/>
      <c r="T606" s="13"/>
      <c r="U606" s="13"/>
      <c r="V606" s="13"/>
      <c r="W606" s="13"/>
    </row>
    <row r="607" ht="15.75" customHeight="1" spans="1:23">
      <c r="A607" s="13"/>
      <c r="B607" s="13"/>
      <c r="C607" s="13"/>
      <c r="D607" s="13"/>
      <c r="E607" s="13"/>
      <c r="F607" s="13"/>
      <c r="G607" s="13"/>
      <c r="H607" s="13"/>
      <c r="I607" s="13"/>
      <c r="J607" s="13"/>
      <c r="K607" s="13"/>
      <c r="L607" s="13"/>
      <c r="M607" s="13"/>
      <c r="N607" s="13"/>
      <c r="O607" s="13"/>
      <c r="P607" s="13"/>
      <c r="Q607" s="13"/>
      <c r="R607" s="13"/>
      <c r="S607" s="13"/>
      <c r="T607" s="13"/>
      <c r="U607" s="13"/>
      <c r="V607" s="13"/>
      <c r="W607" s="13"/>
    </row>
    <row r="608" ht="15.75" customHeight="1" spans="1:23">
      <c r="A608" s="13"/>
      <c r="B608" s="13"/>
      <c r="C608" s="13"/>
      <c r="D608" s="13"/>
      <c r="E608" s="13"/>
      <c r="F608" s="13"/>
      <c r="G608" s="13"/>
      <c r="H608" s="13"/>
      <c r="I608" s="13"/>
      <c r="J608" s="13"/>
      <c r="K608" s="13"/>
      <c r="L608" s="13"/>
      <c r="M608" s="13"/>
      <c r="N608" s="13"/>
      <c r="O608" s="13"/>
      <c r="P608" s="13"/>
      <c r="Q608" s="13"/>
      <c r="R608" s="13"/>
      <c r="S608" s="13"/>
      <c r="T608" s="13"/>
      <c r="U608" s="13"/>
      <c r="V608" s="13"/>
      <c r="W608" s="13"/>
    </row>
    <row r="609" ht="15.75" customHeight="1" spans="1:23">
      <c r="A609" s="13"/>
      <c r="B609" s="13"/>
      <c r="C609" s="13"/>
      <c r="D609" s="13"/>
      <c r="E609" s="13"/>
      <c r="F609" s="13"/>
      <c r="G609" s="13"/>
      <c r="H609" s="13"/>
      <c r="I609" s="13"/>
      <c r="J609" s="13"/>
      <c r="K609" s="13"/>
      <c r="L609" s="13"/>
      <c r="M609" s="13"/>
      <c r="N609" s="13"/>
      <c r="O609" s="13"/>
      <c r="P609" s="13"/>
      <c r="Q609" s="13"/>
      <c r="R609" s="13"/>
      <c r="S609" s="13"/>
      <c r="T609" s="13"/>
      <c r="U609" s="13"/>
      <c r="V609" s="13"/>
      <c r="W609" s="13"/>
    </row>
    <row r="610" ht="15.75" customHeight="1" spans="1:23">
      <c r="A610" s="13"/>
      <c r="B610" s="13"/>
      <c r="C610" s="13"/>
      <c r="D610" s="13"/>
      <c r="E610" s="13"/>
      <c r="F610" s="13"/>
      <c r="G610" s="13"/>
      <c r="H610" s="13"/>
      <c r="I610" s="13"/>
      <c r="J610" s="13"/>
      <c r="K610" s="13"/>
      <c r="L610" s="13"/>
      <c r="M610" s="13"/>
      <c r="N610" s="13"/>
      <c r="O610" s="13"/>
      <c r="P610" s="13"/>
      <c r="Q610" s="13"/>
      <c r="R610" s="13"/>
      <c r="S610" s="13"/>
      <c r="T610" s="13"/>
      <c r="U610" s="13"/>
      <c r="V610" s="13"/>
      <c r="W610" s="13"/>
    </row>
    <row r="611" ht="15.75" customHeight="1" spans="1:23">
      <c r="A611" s="13"/>
      <c r="B611" s="13"/>
      <c r="C611" s="13"/>
      <c r="D611" s="13"/>
      <c r="E611" s="13"/>
      <c r="F611" s="13"/>
      <c r="G611" s="13"/>
      <c r="H611" s="13"/>
      <c r="I611" s="13"/>
      <c r="J611" s="13"/>
      <c r="K611" s="13"/>
      <c r="L611" s="13"/>
      <c r="M611" s="13"/>
      <c r="N611" s="13"/>
      <c r="O611" s="13"/>
      <c r="P611" s="13"/>
      <c r="Q611" s="13"/>
      <c r="R611" s="13"/>
      <c r="S611" s="13"/>
      <c r="T611" s="13"/>
      <c r="U611" s="13"/>
      <c r="V611" s="13"/>
      <c r="W611" s="13"/>
    </row>
    <row r="612" ht="15.75" customHeight="1" spans="1:23">
      <c r="A612" s="13"/>
      <c r="B612" s="13"/>
      <c r="C612" s="13"/>
      <c r="D612" s="13"/>
      <c r="E612" s="13"/>
      <c r="F612" s="13"/>
      <c r="G612" s="13"/>
      <c r="H612" s="13"/>
      <c r="I612" s="13"/>
      <c r="J612" s="13"/>
      <c r="K612" s="13"/>
      <c r="L612" s="13"/>
      <c r="M612" s="13"/>
      <c r="N612" s="13"/>
      <c r="O612" s="13"/>
      <c r="P612" s="13"/>
      <c r="Q612" s="13"/>
      <c r="R612" s="13"/>
      <c r="S612" s="13"/>
      <c r="T612" s="13"/>
      <c r="U612" s="13"/>
      <c r="V612" s="13"/>
      <c r="W612" s="13"/>
    </row>
    <row r="613" ht="15.75" customHeight="1" spans="1:23">
      <c r="A613" s="13"/>
      <c r="B613" s="13"/>
      <c r="C613" s="13"/>
      <c r="D613" s="13"/>
      <c r="E613" s="13"/>
      <c r="F613" s="13"/>
      <c r="G613" s="13"/>
      <c r="H613" s="13"/>
      <c r="I613" s="13"/>
      <c r="J613" s="13"/>
      <c r="K613" s="13"/>
      <c r="L613" s="13"/>
      <c r="M613" s="13"/>
      <c r="N613" s="13"/>
      <c r="O613" s="13"/>
      <c r="P613" s="13"/>
      <c r="Q613" s="13"/>
      <c r="R613" s="13"/>
      <c r="S613" s="13"/>
      <c r="T613" s="13"/>
      <c r="U613" s="13"/>
      <c r="V613" s="13"/>
      <c r="W613" s="13"/>
    </row>
    <row r="614" ht="15.75" customHeight="1" spans="1:23">
      <c r="A614" s="13"/>
      <c r="B614" s="13"/>
      <c r="C614" s="13"/>
      <c r="D614" s="13"/>
      <c r="E614" s="13"/>
      <c r="F614" s="13"/>
      <c r="G614" s="13"/>
      <c r="H614" s="13"/>
      <c r="I614" s="13"/>
      <c r="J614" s="13"/>
      <c r="K614" s="13"/>
      <c r="L614" s="13"/>
      <c r="M614" s="13"/>
      <c r="N614" s="13"/>
      <c r="O614" s="13"/>
      <c r="P614" s="13"/>
      <c r="Q614" s="13"/>
      <c r="R614" s="13"/>
      <c r="S614" s="13"/>
      <c r="T614" s="13"/>
      <c r="U614" s="13"/>
      <c r="V614" s="13"/>
      <c r="W614" s="13"/>
    </row>
    <row r="615" ht="15.75" customHeight="1" spans="1:23">
      <c r="A615" s="13"/>
      <c r="B615" s="13"/>
      <c r="C615" s="13"/>
      <c r="D615" s="13"/>
      <c r="E615" s="13"/>
      <c r="F615" s="13"/>
      <c r="G615" s="13"/>
      <c r="H615" s="13"/>
      <c r="I615" s="13"/>
      <c r="J615" s="13"/>
      <c r="K615" s="13"/>
      <c r="L615" s="13"/>
      <c r="M615" s="13"/>
      <c r="N615" s="13"/>
      <c r="O615" s="13"/>
      <c r="P615" s="13"/>
      <c r="Q615" s="13"/>
      <c r="R615" s="13"/>
      <c r="S615" s="13"/>
      <c r="T615" s="13"/>
      <c r="U615" s="13"/>
      <c r="V615" s="13"/>
      <c r="W615" s="13"/>
    </row>
    <row r="616" ht="15.75" customHeight="1" spans="1:23">
      <c r="A616" s="13"/>
      <c r="B616" s="13"/>
      <c r="C616" s="13"/>
      <c r="D616" s="13"/>
      <c r="E616" s="13"/>
      <c r="F616" s="13"/>
      <c r="G616" s="13"/>
      <c r="H616" s="13"/>
      <c r="I616" s="13"/>
      <c r="J616" s="13"/>
      <c r="K616" s="13"/>
      <c r="L616" s="13"/>
      <c r="M616" s="13"/>
      <c r="N616" s="13"/>
      <c r="O616" s="13"/>
      <c r="P616" s="13"/>
      <c r="Q616" s="13"/>
      <c r="R616" s="13"/>
      <c r="S616" s="13"/>
      <c r="T616" s="13"/>
      <c r="U616" s="13"/>
      <c r="V616" s="13"/>
      <c r="W616" s="13"/>
    </row>
    <row r="617" ht="15.75" customHeight="1" spans="1:23">
      <c r="A617" s="13"/>
      <c r="B617" s="13"/>
      <c r="C617" s="13"/>
      <c r="D617" s="13"/>
      <c r="E617" s="13"/>
      <c r="F617" s="13"/>
      <c r="G617" s="13"/>
      <c r="H617" s="13"/>
      <c r="I617" s="13"/>
      <c r="J617" s="13"/>
      <c r="K617" s="13"/>
      <c r="L617" s="13"/>
      <c r="M617" s="13"/>
      <c r="N617" s="13"/>
      <c r="O617" s="13"/>
      <c r="P617" s="13"/>
      <c r="Q617" s="13"/>
      <c r="R617" s="13"/>
      <c r="S617" s="13"/>
      <c r="T617" s="13"/>
      <c r="U617" s="13"/>
      <c r="V617" s="13"/>
      <c r="W617" s="13"/>
    </row>
    <row r="618" ht="15.75" customHeight="1" spans="1:23">
      <c r="A618" s="13"/>
      <c r="B618" s="13"/>
      <c r="C618" s="13"/>
      <c r="D618" s="13"/>
      <c r="E618" s="13"/>
      <c r="F618" s="13"/>
      <c r="G618" s="13"/>
      <c r="H618" s="13"/>
      <c r="I618" s="13"/>
      <c r="J618" s="13"/>
      <c r="K618" s="13"/>
      <c r="L618" s="13"/>
      <c r="M618" s="13"/>
      <c r="N618" s="13"/>
      <c r="O618" s="13"/>
      <c r="P618" s="13"/>
      <c r="Q618" s="13"/>
      <c r="R618" s="13"/>
      <c r="S618" s="13"/>
      <c r="T618" s="13"/>
      <c r="U618" s="13"/>
      <c r="V618" s="13"/>
      <c r="W618" s="13"/>
    </row>
    <row r="619" ht="15.75" customHeight="1" spans="1:23">
      <c r="A619" s="13"/>
      <c r="B619" s="13"/>
      <c r="C619" s="13"/>
      <c r="D619" s="13"/>
      <c r="E619" s="13"/>
      <c r="F619" s="13"/>
      <c r="G619" s="13"/>
      <c r="H619" s="13"/>
      <c r="I619" s="13"/>
      <c r="J619" s="13"/>
      <c r="K619" s="13"/>
      <c r="L619" s="13"/>
      <c r="M619" s="13"/>
      <c r="N619" s="13"/>
      <c r="O619" s="13"/>
      <c r="P619" s="13"/>
      <c r="Q619" s="13"/>
      <c r="R619" s="13"/>
      <c r="S619" s="13"/>
      <c r="T619" s="13"/>
      <c r="U619" s="13"/>
      <c r="V619" s="13"/>
      <c r="W619" s="13"/>
    </row>
    <row r="620" ht="15.75" customHeight="1" spans="1:23">
      <c r="A620" s="13"/>
      <c r="B620" s="13"/>
      <c r="C620" s="13"/>
      <c r="D620" s="13"/>
      <c r="E620" s="13"/>
      <c r="F620" s="13"/>
      <c r="G620" s="13"/>
      <c r="H620" s="13"/>
      <c r="I620" s="13"/>
      <c r="J620" s="13"/>
      <c r="K620" s="13"/>
      <c r="L620" s="13"/>
      <c r="M620" s="13"/>
      <c r="N620" s="13"/>
      <c r="O620" s="13"/>
      <c r="P620" s="13"/>
      <c r="Q620" s="13"/>
      <c r="R620" s="13"/>
      <c r="S620" s="13"/>
      <c r="T620" s="13"/>
      <c r="U620" s="13"/>
      <c r="V620" s="13"/>
      <c r="W620" s="13"/>
    </row>
    <row r="621" ht="15.75" customHeight="1" spans="1:23">
      <c r="A621" s="13"/>
      <c r="B621" s="13"/>
      <c r="C621" s="13"/>
      <c r="D621" s="13"/>
      <c r="E621" s="13"/>
      <c r="F621" s="13"/>
      <c r="G621" s="13"/>
      <c r="H621" s="13"/>
      <c r="I621" s="13"/>
      <c r="J621" s="13"/>
      <c r="K621" s="13"/>
      <c r="L621" s="13"/>
      <c r="M621" s="13"/>
      <c r="N621" s="13"/>
      <c r="O621" s="13"/>
      <c r="P621" s="13"/>
      <c r="Q621" s="13"/>
      <c r="R621" s="13"/>
      <c r="S621" s="13"/>
      <c r="T621" s="13"/>
      <c r="U621" s="13"/>
      <c r="V621" s="13"/>
      <c r="W621" s="13"/>
    </row>
    <row r="622" ht="15.75" customHeight="1" spans="1:23">
      <c r="A622" s="13"/>
      <c r="B622" s="13"/>
      <c r="C622" s="13"/>
      <c r="D622" s="13"/>
      <c r="E622" s="13"/>
      <c r="F622" s="13"/>
      <c r="G622" s="13"/>
      <c r="H622" s="13"/>
      <c r="I622" s="13"/>
      <c r="J622" s="13"/>
      <c r="K622" s="13"/>
      <c r="L622" s="13"/>
      <c r="M622" s="13"/>
      <c r="N622" s="13"/>
      <c r="O622" s="13"/>
      <c r="P622" s="13"/>
      <c r="Q622" s="13"/>
      <c r="R622" s="13"/>
      <c r="S622" s="13"/>
      <c r="T622" s="13"/>
      <c r="U622" s="13"/>
      <c r="V622" s="13"/>
      <c r="W622" s="13"/>
    </row>
    <row r="623" ht="15.75" customHeight="1" spans="1:23">
      <c r="A623" s="13"/>
      <c r="B623" s="13"/>
      <c r="C623" s="13"/>
      <c r="D623" s="13"/>
      <c r="E623" s="13"/>
      <c r="F623" s="13"/>
      <c r="G623" s="13"/>
      <c r="H623" s="13"/>
      <c r="I623" s="13"/>
      <c r="J623" s="13"/>
      <c r="K623" s="13"/>
      <c r="L623" s="13"/>
      <c r="M623" s="13"/>
      <c r="N623" s="13"/>
      <c r="O623" s="13"/>
      <c r="P623" s="13"/>
      <c r="Q623" s="13"/>
      <c r="R623" s="13"/>
      <c r="S623" s="13"/>
      <c r="T623" s="13"/>
      <c r="U623" s="13"/>
      <c r="V623" s="13"/>
      <c r="W623" s="13"/>
    </row>
    <row r="624" ht="15.75" customHeight="1" spans="1:23">
      <c r="A624" s="13"/>
      <c r="B624" s="13"/>
      <c r="C624" s="13"/>
      <c r="D624" s="13"/>
      <c r="E624" s="13"/>
      <c r="F624" s="13"/>
      <c r="G624" s="13"/>
      <c r="H624" s="13"/>
      <c r="I624" s="13"/>
      <c r="J624" s="13"/>
      <c r="K624" s="13"/>
      <c r="L624" s="13"/>
      <c r="M624" s="13"/>
      <c r="N624" s="13"/>
      <c r="O624" s="13"/>
      <c r="P624" s="13"/>
      <c r="Q624" s="13"/>
      <c r="R624" s="13"/>
      <c r="S624" s="13"/>
      <c r="T624" s="13"/>
      <c r="U624" s="13"/>
      <c r="V624" s="13"/>
      <c r="W624" s="13"/>
    </row>
    <row r="625" ht="15.75" customHeight="1" spans="1:23">
      <c r="A625" s="13"/>
      <c r="B625" s="13"/>
      <c r="C625" s="13"/>
      <c r="D625" s="13"/>
      <c r="E625" s="13"/>
      <c r="F625" s="13"/>
      <c r="G625" s="13"/>
      <c r="H625" s="13"/>
      <c r="I625" s="13"/>
      <c r="J625" s="13"/>
      <c r="K625" s="13"/>
      <c r="L625" s="13"/>
      <c r="M625" s="13"/>
      <c r="N625" s="13"/>
      <c r="O625" s="13"/>
      <c r="P625" s="13"/>
      <c r="Q625" s="13"/>
      <c r="R625" s="13"/>
      <c r="S625" s="13"/>
      <c r="T625" s="13"/>
      <c r="U625" s="13"/>
      <c r="V625" s="13"/>
      <c r="W625" s="13"/>
    </row>
    <row r="626" ht="15.75" customHeight="1" spans="1:23">
      <c r="A626" s="13"/>
      <c r="B626" s="13"/>
      <c r="C626" s="13"/>
      <c r="D626" s="13"/>
      <c r="E626" s="13"/>
      <c r="F626" s="13"/>
      <c r="G626" s="13"/>
      <c r="H626" s="13"/>
      <c r="I626" s="13"/>
      <c r="J626" s="13"/>
      <c r="K626" s="13"/>
      <c r="L626" s="13"/>
      <c r="M626" s="13"/>
      <c r="N626" s="13"/>
      <c r="O626" s="13"/>
      <c r="P626" s="13"/>
      <c r="Q626" s="13"/>
      <c r="R626" s="13"/>
      <c r="S626" s="13"/>
      <c r="T626" s="13"/>
      <c r="U626" s="13"/>
      <c r="V626" s="13"/>
      <c r="W626" s="13"/>
    </row>
    <row r="627" ht="15.75" customHeight="1" spans="1:23">
      <c r="A627" s="13"/>
      <c r="B627" s="13"/>
      <c r="C627" s="13"/>
      <c r="D627" s="13"/>
      <c r="E627" s="13"/>
      <c r="F627" s="13"/>
      <c r="G627" s="13"/>
      <c r="H627" s="13"/>
      <c r="I627" s="13"/>
      <c r="J627" s="13"/>
      <c r="K627" s="13"/>
      <c r="L627" s="13"/>
      <c r="M627" s="13"/>
      <c r="N627" s="13"/>
      <c r="O627" s="13"/>
      <c r="P627" s="13"/>
      <c r="Q627" s="13"/>
      <c r="R627" s="13"/>
      <c r="S627" s="13"/>
      <c r="T627" s="13"/>
      <c r="U627" s="13"/>
      <c r="V627" s="13"/>
      <c r="W627" s="13"/>
    </row>
    <row r="628" ht="15.75" customHeight="1" spans="1:23">
      <c r="A628" s="13"/>
      <c r="B628" s="13"/>
      <c r="C628" s="13"/>
      <c r="D628" s="13"/>
      <c r="E628" s="13"/>
      <c r="F628" s="13"/>
      <c r="G628" s="13"/>
      <c r="H628" s="13"/>
      <c r="I628" s="13"/>
      <c r="J628" s="13"/>
      <c r="K628" s="13"/>
      <c r="L628" s="13"/>
      <c r="M628" s="13"/>
      <c r="N628" s="13"/>
      <c r="O628" s="13"/>
      <c r="P628" s="13"/>
      <c r="Q628" s="13"/>
      <c r="R628" s="13"/>
      <c r="S628" s="13"/>
      <c r="T628" s="13"/>
      <c r="U628" s="13"/>
      <c r="V628" s="13"/>
      <c r="W628" s="13"/>
    </row>
    <row r="629" ht="15.75" customHeight="1" spans="1:23">
      <c r="A629" s="13"/>
      <c r="B629" s="13"/>
      <c r="C629" s="13"/>
      <c r="D629" s="13"/>
      <c r="E629" s="13"/>
      <c r="F629" s="13"/>
      <c r="G629" s="13"/>
      <c r="H629" s="13"/>
      <c r="I629" s="13"/>
      <c r="J629" s="13"/>
      <c r="K629" s="13"/>
      <c r="L629" s="13"/>
      <c r="M629" s="13"/>
      <c r="N629" s="13"/>
      <c r="O629" s="13"/>
      <c r="P629" s="13"/>
      <c r="Q629" s="13"/>
      <c r="R629" s="13"/>
      <c r="S629" s="13"/>
      <c r="T629" s="13"/>
      <c r="U629" s="13"/>
      <c r="V629" s="13"/>
      <c r="W629" s="13"/>
    </row>
    <row r="630" ht="15.75" customHeight="1" spans="1:23">
      <c r="A630" s="13"/>
      <c r="B630" s="13"/>
      <c r="C630" s="13"/>
      <c r="D630" s="13"/>
      <c r="E630" s="13"/>
      <c r="F630" s="13"/>
      <c r="G630" s="13"/>
      <c r="H630" s="13"/>
      <c r="I630" s="13"/>
      <c r="J630" s="13"/>
      <c r="K630" s="13"/>
      <c r="L630" s="13"/>
      <c r="M630" s="13"/>
      <c r="N630" s="13"/>
      <c r="O630" s="13"/>
      <c r="P630" s="13"/>
      <c r="Q630" s="13"/>
      <c r="R630" s="13"/>
      <c r="S630" s="13"/>
      <c r="T630" s="13"/>
      <c r="U630" s="13"/>
      <c r="V630" s="13"/>
      <c r="W630" s="13"/>
    </row>
    <row r="631" ht="15.75" customHeight="1" spans="1:23">
      <c r="A631" s="13"/>
      <c r="B631" s="13"/>
      <c r="C631" s="13"/>
      <c r="D631" s="13"/>
      <c r="E631" s="13"/>
      <c r="F631" s="13"/>
      <c r="G631" s="13"/>
      <c r="H631" s="13"/>
      <c r="I631" s="13"/>
      <c r="J631" s="13"/>
      <c r="K631" s="13"/>
      <c r="L631" s="13"/>
      <c r="M631" s="13"/>
      <c r="N631" s="13"/>
      <c r="O631" s="13"/>
      <c r="P631" s="13"/>
      <c r="Q631" s="13"/>
      <c r="R631" s="13"/>
      <c r="S631" s="13"/>
      <c r="T631" s="13"/>
      <c r="U631" s="13"/>
      <c r="V631" s="13"/>
      <c r="W631" s="13"/>
    </row>
    <row r="632" ht="15.75" customHeight="1" spans="1:23">
      <c r="A632" s="13"/>
      <c r="B632" s="13"/>
      <c r="C632" s="13"/>
      <c r="D632" s="13"/>
      <c r="E632" s="13"/>
      <c r="F632" s="13"/>
      <c r="G632" s="13"/>
      <c r="H632" s="13"/>
      <c r="I632" s="13"/>
      <c r="J632" s="13"/>
      <c r="K632" s="13"/>
      <c r="L632" s="13"/>
      <c r="M632" s="13"/>
      <c r="N632" s="13"/>
      <c r="O632" s="13"/>
      <c r="P632" s="13"/>
      <c r="Q632" s="13"/>
      <c r="R632" s="13"/>
      <c r="S632" s="13"/>
      <c r="T632" s="13"/>
      <c r="U632" s="13"/>
      <c r="V632" s="13"/>
      <c r="W632" s="13"/>
    </row>
    <row r="633" ht="15.75" customHeight="1" spans="1:23">
      <c r="A633" s="13"/>
      <c r="B633" s="13"/>
      <c r="C633" s="13"/>
      <c r="D633" s="13"/>
      <c r="E633" s="13"/>
      <c r="F633" s="13"/>
      <c r="G633" s="13"/>
      <c r="H633" s="13"/>
      <c r="I633" s="13"/>
      <c r="J633" s="13"/>
      <c r="K633" s="13"/>
      <c r="L633" s="13"/>
      <c r="M633" s="13"/>
      <c r="N633" s="13"/>
      <c r="O633" s="13"/>
      <c r="P633" s="13"/>
      <c r="Q633" s="13"/>
      <c r="R633" s="13"/>
      <c r="S633" s="13"/>
      <c r="T633" s="13"/>
      <c r="U633" s="13"/>
      <c r="V633" s="13"/>
      <c r="W633" s="13"/>
    </row>
    <row r="634" ht="15.75" customHeight="1" spans="1:23">
      <c r="A634" s="13"/>
      <c r="B634" s="13"/>
      <c r="C634" s="13"/>
      <c r="D634" s="13"/>
      <c r="E634" s="13"/>
      <c r="F634" s="13"/>
      <c r="G634" s="13"/>
      <c r="H634" s="13"/>
      <c r="I634" s="13"/>
      <c r="J634" s="13"/>
      <c r="K634" s="13"/>
      <c r="L634" s="13"/>
      <c r="M634" s="13"/>
      <c r="N634" s="13"/>
      <c r="O634" s="13"/>
      <c r="P634" s="13"/>
      <c r="Q634" s="13"/>
      <c r="R634" s="13"/>
      <c r="S634" s="13"/>
      <c r="T634" s="13"/>
      <c r="U634" s="13"/>
      <c r="V634" s="13"/>
      <c r="W634" s="13"/>
    </row>
    <row r="635" ht="15.75" customHeight="1" spans="1:23">
      <c r="A635" s="13"/>
      <c r="B635" s="13"/>
      <c r="C635" s="13"/>
      <c r="D635" s="13"/>
      <c r="E635" s="13"/>
      <c r="F635" s="13"/>
      <c r="G635" s="13"/>
      <c r="H635" s="13"/>
      <c r="I635" s="13"/>
      <c r="J635" s="13"/>
      <c r="K635" s="13"/>
      <c r="L635" s="13"/>
      <c r="M635" s="13"/>
      <c r="N635" s="13"/>
      <c r="O635" s="13"/>
      <c r="P635" s="13"/>
      <c r="Q635" s="13"/>
      <c r="R635" s="13"/>
      <c r="S635" s="13"/>
      <c r="T635" s="13"/>
      <c r="U635" s="13"/>
      <c r="V635" s="13"/>
      <c r="W635" s="13"/>
    </row>
    <row r="636" ht="15.75" customHeight="1" spans="1:23">
      <c r="A636" s="13"/>
      <c r="B636" s="13"/>
      <c r="C636" s="13"/>
      <c r="D636" s="13"/>
      <c r="E636" s="13"/>
      <c r="F636" s="13"/>
      <c r="G636" s="13"/>
      <c r="H636" s="13"/>
      <c r="I636" s="13"/>
      <c r="J636" s="13"/>
      <c r="K636" s="13"/>
      <c r="L636" s="13"/>
      <c r="M636" s="13"/>
      <c r="N636" s="13"/>
      <c r="O636" s="13"/>
      <c r="P636" s="13"/>
      <c r="Q636" s="13"/>
      <c r="R636" s="13"/>
      <c r="S636" s="13"/>
      <c r="T636" s="13"/>
      <c r="U636" s="13"/>
      <c r="V636" s="13"/>
      <c r="W636" s="13"/>
    </row>
    <row r="637" ht="15.75" customHeight="1" spans="1:23">
      <c r="A637" s="13"/>
      <c r="B637" s="13"/>
      <c r="C637" s="13"/>
      <c r="D637" s="13"/>
      <c r="E637" s="13"/>
      <c r="F637" s="13"/>
      <c r="G637" s="13"/>
      <c r="H637" s="13"/>
      <c r="I637" s="13"/>
      <c r="J637" s="13"/>
      <c r="K637" s="13"/>
      <c r="L637" s="13"/>
      <c r="M637" s="13"/>
      <c r="N637" s="13"/>
      <c r="O637" s="13"/>
      <c r="P637" s="13"/>
      <c r="Q637" s="13"/>
      <c r="R637" s="13"/>
      <c r="S637" s="13"/>
      <c r="T637" s="13"/>
      <c r="U637" s="13"/>
      <c r="V637" s="13"/>
      <c r="W637" s="13"/>
    </row>
    <row r="638" ht="15.75" customHeight="1" spans="1:23">
      <c r="A638" s="13"/>
      <c r="B638" s="13"/>
      <c r="C638" s="13"/>
      <c r="D638" s="13"/>
      <c r="E638" s="13"/>
      <c r="F638" s="13"/>
      <c r="G638" s="13"/>
      <c r="H638" s="13"/>
      <c r="I638" s="13"/>
      <c r="J638" s="13"/>
      <c r="K638" s="13"/>
      <c r="L638" s="13"/>
      <c r="M638" s="13"/>
      <c r="N638" s="13"/>
      <c r="O638" s="13"/>
      <c r="P638" s="13"/>
      <c r="Q638" s="13"/>
      <c r="R638" s="13"/>
      <c r="S638" s="13"/>
      <c r="T638" s="13"/>
      <c r="U638" s="13"/>
      <c r="V638" s="13"/>
      <c r="W638" s="13"/>
    </row>
    <row r="639" ht="15.75" customHeight="1" spans="1:23">
      <c r="A639" s="13"/>
      <c r="B639" s="13"/>
      <c r="C639" s="13"/>
      <c r="D639" s="13"/>
      <c r="E639" s="13"/>
      <c r="F639" s="13"/>
      <c r="G639" s="13"/>
      <c r="H639" s="13"/>
      <c r="I639" s="13"/>
      <c r="J639" s="13"/>
      <c r="K639" s="13"/>
      <c r="L639" s="13"/>
      <c r="M639" s="13"/>
      <c r="N639" s="13"/>
      <c r="O639" s="13"/>
      <c r="P639" s="13"/>
      <c r="Q639" s="13"/>
      <c r="R639" s="13"/>
      <c r="S639" s="13"/>
      <c r="T639" s="13"/>
      <c r="U639" s="13"/>
      <c r="V639" s="13"/>
      <c r="W639" s="13"/>
    </row>
    <row r="640" ht="15.75" customHeight="1" spans="1:23">
      <c r="A640" s="13"/>
      <c r="B640" s="13"/>
      <c r="C640" s="13"/>
      <c r="D640" s="13"/>
      <c r="E640" s="13"/>
      <c r="F640" s="13"/>
      <c r="G640" s="13"/>
      <c r="H640" s="13"/>
      <c r="I640" s="13"/>
      <c r="J640" s="13"/>
      <c r="K640" s="13"/>
      <c r="L640" s="13"/>
      <c r="M640" s="13"/>
      <c r="N640" s="13"/>
      <c r="O640" s="13"/>
      <c r="P640" s="13"/>
      <c r="Q640" s="13"/>
      <c r="R640" s="13"/>
      <c r="S640" s="13"/>
      <c r="T640" s="13"/>
      <c r="U640" s="13"/>
      <c r="V640" s="13"/>
      <c r="W640" s="13"/>
    </row>
    <row r="641" ht="15.75" customHeight="1" spans="1:23">
      <c r="A641" s="13"/>
      <c r="B641" s="13"/>
      <c r="C641" s="13"/>
      <c r="D641" s="13"/>
      <c r="E641" s="13"/>
      <c r="F641" s="13"/>
      <c r="G641" s="13"/>
      <c r="H641" s="13"/>
      <c r="I641" s="13"/>
      <c r="J641" s="13"/>
      <c r="K641" s="13"/>
      <c r="L641" s="13"/>
      <c r="M641" s="13"/>
      <c r="N641" s="13"/>
      <c r="O641" s="13"/>
      <c r="P641" s="13"/>
      <c r="Q641" s="13"/>
      <c r="R641" s="13"/>
      <c r="S641" s="13"/>
      <c r="T641" s="13"/>
      <c r="U641" s="13"/>
      <c r="V641" s="13"/>
      <c r="W641" s="13"/>
    </row>
    <row r="642" ht="15.75" customHeight="1" spans="1:23">
      <c r="A642" s="13"/>
      <c r="B642" s="13"/>
      <c r="C642" s="13"/>
      <c r="D642" s="13"/>
      <c r="E642" s="13"/>
      <c r="F642" s="13"/>
      <c r="G642" s="13"/>
      <c r="H642" s="13"/>
      <c r="I642" s="13"/>
      <c r="J642" s="13"/>
      <c r="K642" s="13"/>
      <c r="L642" s="13"/>
      <c r="M642" s="13"/>
      <c r="N642" s="13"/>
      <c r="O642" s="13"/>
      <c r="P642" s="13"/>
      <c r="Q642" s="13"/>
      <c r="R642" s="13"/>
      <c r="S642" s="13"/>
      <c r="T642" s="13"/>
      <c r="U642" s="13"/>
      <c r="V642" s="13"/>
      <c r="W642" s="13"/>
    </row>
    <row r="643" ht="15.75" customHeight="1" spans="1:23">
      <c r="A643" s="13"/>
      <c r="B643" s="13"/>
      <c r="C643" s="13"/>
      <c r="D643" s="13"/>
      <c r="E643" s="13"/>
      <c r="F643" s="13"/>
      <c r="G643" s="13"/>
      <c r="H643" s="13"/>
      <c r="I643" s="13"/>
      <c r="J643" s="13"/>
      <c r="K643" s="13"/>
      <c r="L643" s="13"/>
      <c r="M643" s="13"/>
      <c r="N643" s="13"/>
      <c r="O643" s="13"/>
      <c r="P643" s="13"/>
      <c r="Q643" s="13"/>
      <c r="R643" s="13"/>
      <c r="S643" s="13"/>
      <c r="T643" s="13"/>
      <c r="U643" s="13"/>
      <c r="V643" s="13"/>
      <c r="W643" s="13"/>
    </row>
    <row r="644" ht="15.75" customHeight="1" spans="1:23">
      <c r="A644" s="13"/>
      <c r="B644" s="13"/>
      <c r="C644" s="13"/>
      <c r="D644" s="13"/>
      <c r="E644" s="13"/>
      <c r="F644" s="13"/>
      <c r="G644" s="13"/>
      <c r="H644" s="13"/>
      <c r="I644" s="13"/>
      <c r="J644" s="13"/>
      <c r="K644" s="13"/>
      <c r="L644" s="13"/>
      <c r="M644" s="13"/>
      <c r="N644" s="13"/>
      <c r="O644" s="13"/>
      <c r="P644" s="13"/>
      <c r="Q644" s="13"/>
      <c r="R644" s="13"/>
      <c r="S644" s="13"/>
      <c r="T644" s="13"/>
      <c r="U644" s="13"/>
      <c r="V644" s="13"/>
      <c r="W644" s="13"/>
    </row>
    <row r="645" ht="15.75" customHeight="1" spans="1:23">
      <c r="A645" s="13"/>
      <c r="B645" s="13"/>
      <c r="C645" s="13"/>
      <c r="D645" s="13"/>
      <c r="E645" s="13"/>
      <c r="F645" s="13"/>
      <c r="G645" s="13"/>
      <c r="H645" s="13"/>
      <c r="I645" s="13"/>
      <c r="J645" s="13"/>
      <c r="K645" s="13"/>
      <c r="L645" s="13"/>
      <c r="M645" s="13"/>
      <c r="N645" s="13"/>
      <c r="O645" s="13"/>
      <c r="P645" s="13"/>
      <c r="Q645" s="13"/>
      <c r="R645" s="13"/>
      <c r="S645" s="13"/>
      <c r="T645" s="13"/>
      <c r="U645" s="13"/>
      <c r="V645" s="13"/>
      <c r="W645" s="13"/>
    </row>
    <row r="646" ht="15.75" customHeight="1" spans="1:23">
      <c r="A646" s="13"/>
      <c r="B646" s="13"/>
      <c r="C646" s="13"/>
      <c r="D646" s="13"/>
      <c r="E646" s="13"/>
      <c r="F646" s="13"/>
      <c r="G646" s="13"/>
      <c r="H646" s="13"/>
      <c r="I646" s="13"/>
      <c r="J646" s="13"/>
      <c r="K646" s="13"/>
      <c r="L646" s="13"/>
      <c r="M646" s="13"/>
      <c r="N646" s="13"/>
      <c r="O646" s="13"/>
      <c r="P646" s="13"/>
      <c r="Q646" s="13"/>
      <c r="R646" s="13"/>
      <c r="S646" s="13"/>
      <c r="T646" s="13"/>
      <c r="U646" s="13"/>
      <c r="V646" s="13"/>
      <c r="W646" s="13"/>
    </row>
    <row r="647" ht="15.75" customHeight="1" spans="1:23">
      <c r="A647" s="13"/>
      <c r="B647" s="13"/>
      <c r="C647" s="13"/>
      <c r="D647" s="13"/>
      <c r="E647" s="13"/>
      <c r="F647" s="13"/>
      <c r="G647" s="13"/>
      <c r="H647" s="13"/>
      <c r="I647" s="13"/>
      <c r="J647" s="13"/>
      <c r="K647" s="13"/>
      <c r="L647" s="13"/>
      <c r="M647" s="13"/>
      <c r="N647" s="13"/>
      <c r="O647" s="13"/>
      <c r="P647" s="13"/>
      <c r="Q647" s="13"/>
      <c r="R647" s="13"/>
      <c r="S647" s="13"/>
      <c r="T647" s="13"/>
      <c r="U647" s="13"/>
      <c r="V647" s="13"/>
      <c r="W647" s="13"/>
    </row>
    <row r="648" ht="15.75" customHeight="1" spans="1:23">
      <c r="A648" s="13"/>
      <c r="B648" s="13"/>
      <c r="C648" s="13"/>
      <c r="D648" s="13"/>
      <c r="E648" s="13"/>
      <c r="F648" s="13"/>
      <c r="G648" s="13"/>
      <c r="H648" s="13"/>
      <c r="I648" s="13"/>
      <c r="J648" s="13"/>
      <c r="K648" s="13"/>
      <c r="L648" s="13"/>
      <c r="M648" s="13"/>
      <c r="N648" s="13"/>
      <c r="O648" s="13"/>
      <c r="P648" s="13"/>
      <c r="Q648" s="13"/>
      <c r="R648" s="13"/>
      <c r="S648" s="13"/>
      <c r="T648" s="13"/>
      <c r="U648" s="13"/>
      <c r="V648" s="13"/>
      <c r="W648" s="13"/>
    </row>
    <row r="649" ht="15.75" customHeight="1" spans="1:23">
      <c r="A649" s="13"/>
      <c r="B649" s="13"/>
      <c r="C649" s="13"/>
      <c r="D649" s="13"/>
      <c r="E649" s="13"/>
      <c r="F649" s="13"/>
      <c r="G649" s="13"/>
      <c r="H649" s="13"/>
      <c r="I649" s="13"/>
      <c r="J649" s="13"/>
      <c r="K649" s="13"/>
      <c r="L649" s="13"/>
      <c r="M649" s="13"/>
      <c r="N649" s="13"/>
      <c r="O649" s="13"/>
      <c r="P649" s="13"/>
      <c r="Q649" s="13"/>
      <c r="R649" s="13"/>
      <c r="S649" s="13"/>
      <c r="T649" s="13"/>
      <c r="U649" s="13"/>
      <c r="V649" s="13"/>
      <c r="W649" s="13"/>
    </row>
    <row r="650" ht="15.75" customHeight="1" spans="1:23">
      <c r="A650" s="13"/>
      <c r="B650" s="13"/>
      <c r="C650" s="13"/>
      <c r="D650" s="13"/>
      <c r="E650" s="13"/>
      <c r="F650" s="13"/>
      <c r="G650" s="13"/>
      <c r="H650" s="13"/>
      <c r="I650" s="13"/>
      <c r="J650" s="13"/>
      <c r="K650" s="13"/>
      <c r="L650" s="13"/>
      <c r="M650" s="13"/>
      <c r="N650" s="13"/>
      <c r="O650" s="13"/>
      <c r="P650" s="13"/>
      <c r="Q650" s="13"/>
      <c r="R650" s="13"/>
      <c r="S650" s="13"/>
      <c r="T650" s="13"/>
      <c r="U650" s="13"/>
      <c r="V650" s="13"/>
      <c r="W650" s="13"/>
    </row>
    <row r="651" ht="15.75" customHeight="1" spans="1:23">
      <c r="A651" s="13"/>
      <c r="B651" s="13"/>
      <c r="C651" s="13"/>
      <c r="D651" s="13"/>
      <c r="E651" s="13"/>
      <c r="F651" s="13"/>
      <c r="G651" s="13"/>
      <c r="H651" s="13"/>
      <c r="I651" s="13"/>
      <c r="J651" s="13"/>
      <c r="K651" s="13"/>
      <c r="L651" s="13"/>
      <c r="M651" s="13"/>
      <c r="N651" s="13"/>
      <c r="O651" s="13"/>
      <c r="P651" s="13"/>
      <c r="Q651" s="13"/>
      <c r="R651" s="13"/>
      <c r="S651" s="13"/>
      <c r="T651" s="13"/>
      <c r="U651" s="13"/>
      <c r="V651" s="13"/>
      <c r="W651" s="13"/>
    </row>
    <row r="652" ht="15.75" customHeight="1" spans="1:23">
      <c r="A652" s="13"/>
      <c r="B652" s="13"/>
      <c r="C652" s="13"/>
      <c r="D652" s="13"/>
      <c r="E652" s="13"/>
      <c r="F652" s="13"/>
      <c r="G652" s="13"/>
      <c r="H652" s="13"/>
      <c r="I652" s="13"/>
      <c r="J652" s="13"/>
      <c r="K652" s="13"/>
      <c r="L652" s="13"/>
      <c r="M652" s="13"/>
      <c r="N652" s="13"/>
      <c r="O652" s="13"/>
      <c r="P652" s="13"/>
      <c r="Q652" s="13"/>
      <c r="R652" s="13"/>
      <c r="S652" s="13"/>
      <c r="T652" s="13"/>
      <c r="U652" s="13"/>
      <c r="V652" s="13"/>
      <c r="W652" s="13"/>
    </row>
    <row r="653" ht="15.75" customHeight="1" spans="1:23">
      <c r="A653" s="13"/>
      <c r="B653" s="13"/>
      <c r="C653" s="13"/>
      <c r="D653" s="13"/>
      <c r="E653" s="13"/>
      <c r="F653" s="13"/>
      <c r="G653" s="13"/>
      <c r="H653" s="13"/>
      <c r="I653" s="13"/>
      <c r="J653" s="13"/>
      <c r="K653" s="13"/>
      <c r="L653" s="13"/>
      <c r="M653" s="13"/>
      <c r="N653" s="13"/>
      <c r="O653" s="13"/>
      <c r="P653" s="13"/>
      <c r="Q653" s="13"/>
      <c r="R653" s="13"/>
      <c r="S653" s="13"/>
      <c r="T653" s="13"/>
      <c r="U653" s="13"/>
      <c r="V653" s="13"/>
      <c r="W653" s="13"/>
    </row>
    <row r="654" ht="15.75" customHeight="1" spans="1:23">
      <c r="A654" s="13"/>
      <c r="B654" s="13"/>
      <c r="C654" s="13"/>
      <c r="D654" s="13"/>
      <c r="E654" s="13"/>
      <c r="F654" s="13"/>
      <c r="G654" s="13"/>
      <c r="H654" s="13"/>
      <c r="I654" s="13"/>
      <c r="J654" s="13"/>
      <c r="K654" s="13"/>
      <c r="L654" s="13"/>
      <c r="M654" s="13"/>
      <c r="N654" s="13"/>
      <c r="O654" s="13"/>
      <c r="P654" s="13"/>
      <c r="Q654" s="13"/>
      <c r="R654" s="13"/>
      <c r="S654" s="13"/>
      <c r="T654" s="13"/>
      <c r="U654" s="13"/>
      <c r="V654" s="13"/>
      <c r="W654" s="13"/>
    </row>
    <row r="655" ht="15.75" customHeight="1" spans="1:23">
      <c r="A655" s="13"/>
      <c r="B655" s="13"/>
      <c r="C655" s="13"/>
      <c r="D655" s="13"/>
      <c r="E655" s="13"/>
      <c r="F655" s="13"/>
      <c r="G655" s="13"/>
      <c r="H655" s="13"/>
      <c r="I655" s="13"/>
      <c r="J655" s="13"/>
      <c r="K655" s="13"/>
      <c r="L655" s="13"/>
      <c r="M655" s="13"/>
      <c r="N655" s="13"/>
      <c r="O655" s="13"/>
      <c r="P655" s="13"/>
      <c r="Q655" s="13"/>
      <c r="R655" s="13"/>
      <c r="S655" s="13"/>
      <c r="T655" s="13"/>
      <c r="U655" s="13"/>
      <c r="V655" s="13"/>
      <c r="W655" s="13"/>
    </row>
    <row r="656" ht="15.75" customHeight="1" spans="1:23">
      <c r="A656" s="13"/>
      <c r="B656" s="13"/>
      <c r="C656" s="13"/>
      <c r="D656" s="13"/>
      <c r="E656" s="13"/>
      <c r="F656" s="13"/>
      <c r="G656" s="13"/>
      <c r="H656" s="13"/>
      <c r="I656" s="13"/>
      <c r="J656" s="13"/>
      <c r="K656" s="13"/>
      <c r="L656" s="13"/>
      <c r="M656" s="13"/>
      <c r="N656" s="13"/>
      <c r="O656" s="13"/>
      <c r="P656" s="13"/>
      <c r="Q656" s="13"/>
      <c r="R656" s="13"/>
      <c r="S656" s="13"/>
      <c r="T656" s="13"/>
      <c r="U656" s="13"/>
      <c r="V656" s="13"/>
      <c r="W656" s="13"/>
    </row>
    <row r="657" ht="15.75" customHeight="1" spans="1:23">
      <c r="A657" s="13"/>
      <c r="B657" s="13"/>
      <c r="C657" s="13"/>
      <c r="D657" s="13"/>
      <c r="E657" s="13"/>
      <c r="F657" s="13"/>
      <c r="G657" s="13"/>
      <c r="H657" s="13"/>
      <c r="I657" s="13"/>
      <c r="J657" s="13"/>
      <c r="K657" s="13"/>
      <c r="L657" s="13"/>
      <c r="M657" s="13"/>
      <c r="N657" s="13"/>
      <c r="O657" s="13"/>
      <c r="P657" s="13"/>
      <c r="Q657" s="13"/>
      <c r="R657" s="13"/>
      <c r="S657" s="13"/>
      <c r="T657" s="13"/>
      <c r="U657" s="13"/>
      <c r="V657" s="13"/>
      <c r="W657" s="13"/>
    </row>
    <row r="658" ht="15.75" customHeight="1" spans="1:23">
      <c r="A658" s="13"/>
      <c r="B658" s="13"/>
      <c r="C658" s="13"/>
      <c r="D658" s="13"/>
      <c r="E658" s="13"/>
      <c r="F658" s="13"/>
      <c r="G658" s="13"/>
      <c r="H658" s="13"/>
      <c r="I658" s="13"/>
      <c r="J658" s="13"/>
      <c r="K658" s="13"/>
      <c r="L658" s="13"/>
      <c r="M658" s="13"/>
      <c r="N658" s="13"/>
      <c r="O658" s="13"/>
      <c r="P658" s="13"/>
      <c r="Q658" s="13"/>
      <c r="R658" s="13"/>
      <c r="S658" s="13"/>
      <c r="T658" s="13"/>
      <c r="U658" s="13"/>
      <c r="V658" s="13"/>
      <c r="W658" s="13"/>
    </row>
    <row r="659" ht="15.75" customHeight="1" spans="1:23">
      <c r="A659" s="13"/>
      <c r="B659" s="13"/>
      <c r="C659" s="13"/>
      <c r="D659" s="13"/>
      <c r="E659" s="13"/>
      <c r="F659" s="13"/>
      <c r="G659" s="13"/>
      <c r="H659" s="13"/>
      <c r="I659" s="13"/>
      <c r="J659" s="13"/>
      <c r="K659" s="13"/>
      <c r="L659" s="13"/>
      <c r="M659" s="13"/>
      <c r="N659" s="13"/>
      <c r="O659" s="13"/>
      <c r="P659" s="13"/>
      <c r="Q659" s="13"/>
      <c r="R659" s="13"/>
      <c r="S659" s="13"/>
      <c r="T659" s="13"/>
      <c r="U659" s="13"/>
      <c r="V659" s="13"/>
      <c r="W659" s="13"/>
    </row>
    <row r="660" ht="15.75" customHeight="1" spans="1:23">
      <c r="A660" s="13"/>
      <c r="B660" s="13"/>
      <c r="C660" s="13"/>
      <c r="D660" s="13"/>
      <c r="E660" s="13"/>
      <c r="F660" s="13"/>
      <c r="G660" s="13"/>
      <c r="H660" s="13"/>
      <c r="I660" s="13"/>
      <c r="J660" s="13"/>
      <c r="K660" s="13"/>
      <c r="L660" s="13"/>
      <c r="M660" s="13"/>
      <c r="N660" s="13"/>
      <c r="O660" s="13"/>
      <c r="P660" s="13"/>
      <c r="Q660" s="13"/>
      <c r="R660" s="13"/>
      <c r="S660" s="13"/>
      <c r="T660" s="13"/>
      <c r="U660" s="13"/>
      <c r="V660" s="13"/>
      <c r="W660" s="13"/>
    </row>
    <row r="661" ht="15.75" customHeight="1" spans="1:23">
      <c r="A661" s="13"/>
      <c r="B661" s="13"/>
      <c r="C661" s="13"/>
      <c r="D661" s="13"/>
      <c r="E661" s="13"/>
      <c r="F661" s="13"/>
      <c r="G661" s="13"/>
      <c r="H661" s="13"/>
      <c r="I661" s="13"/>
      <c r="J661" s="13"/>
      <c r="K661" s="13"/>
      <c r="L661" s="13"/>
      <c r="M661" s="13"/>
      <c r="N661" s="13"/>
      <c r="O661" s="13"/>
      <c r="P661" s="13"/>
      <c r="Q661" s="13"/>
      <c r="R661" s="13"/>
      <c r="S661" s="13"/>
      <c r="T661" s="13"/>
      <c r="U661" s="13"/>
      <c r="V661" s="13"/>
      <c r="W661" s="13"/>
    </row>
    <row r="662" ht="15.75" customHeight="1" spans="1:23">
      <c r="A662" s="13"/>
      <c r="B662" s="13"/>
      <c r="C662" s="13"/>
      <c r="D662" s="13"/>
      <c r="E662" s="13"/>
      <c r="F662" s="13"/>
      <c r="G662" s="13"/>
      <c r="H662" s="13"/>
      <c r="I662" s="13"/>
      <c r="J662" s="13"/>
      <c r="K662" s="13"/>
      <c r="L662" s="13"/>
      <c r="M662" s="13"/>
      <c r="N662" s="13"/>
      <c r="O662" s="13"/>
      <c r="P662" s="13"/>
      <c r="Q662" s="13"/>
      <c r="R662" s="13"/>
      <c r="S662" s="13"/>
      <c r="T662" s="13"/>
      <c r="U662" s="13"/>
      <c r="V662" s="13"/>
      <c r="W662" s="13"/>
    </row>
    <row r="663" ht="15.75" customHeight="1" spans="1:23">
      <c r="A663" s="13"/>
      <c r="B663" s="13"/>
      <c r="C663" s="13"/>
      <c r="D663" s="13"/>
      <c r="E663" s="13"/>
      <c r="F663" s="13"/>
      <c r="G663" s="13"/>
      <c r="H663" s="13"/>
      <c r="I663" s="13"/>
      <c r="J663" s="13"/>
      <c r="K663" s="13"/>
      <c r="L663" s="13"/>
      <c r="M663" s="13"/>
      <c r="N663" s="13"/>
      <c r="O663" s="13"/>
      <c r="P663" s="13"/>
      <c r="Q663" s="13"/>
      <c r="R663" s="13"/>
      <c r="S663" s="13"/>
      <c r="T663" s="13"/>
      <c r="U663" s="13"/>
      <c r="V663" s="13"/>
      <c r="W663" s="13"/>
    </row>
    <row r="664" ht="15.75" customHeight="1" spans="1:23">
      <c r="A664" s="13"/>
      <c r="B664" s="13"/>
      <c r="C664" s="13"/>
      <c r="D664" s="13"/>
      <c r="E664" s="13"/>
      <c r="F664" s="13"/>
      <c r="G664" s="13"/>
      <c r="H664" s="13"/>
      <c r="I664" s="13"/>
      <c r="J664" s="13"/>
      <c r="K664" s="13"/>
      <c r="L664" s="13"/>
      <c r="M664" s="13"/>
      <c r="N664" s="13"/>
      <c r="O664" s="13"/>
      <c r="P664" s="13"/>
      <c r="Q664" s="13"/>
      <c r="R664" s="13"/>
      <c r="S664" s="13"/>
      <c r="T664" s="13"/>
      <c r="U664" s="13"/>
      <c r="V664" s="13"/>
      <c r="W664" s="13"/>
    </row>
    <row r="665" ht="15.75" customHeight="1" spans="1:23">
      <c r="A665" s="13"/>
      <c r="B665" s="13"/>
      <c r="C665" s="13"/>
      <c r="D665" s="13"/>
      <c r="E665" s="13"/>
      <c r="F665" s="13"/>
      <c r="G665" s="13"/>
      <c r="H665" s="13"/>
      <c r="I665" s="13"/>
      <c r="J665" s="13"/>
      <c r="K665" s="13"/>
      <c r="L665" s="13"/>
      <c r="M665" s="13"/>
      <c r="N665" s="13"/>
      <c r="O665" s="13"/>
      <c r="P665" s="13"/>
      <c r="Q665" s="13"/>
      <c r="R665" s="13"/>
      <c r="S665" s="13"/>
      <c r="T665" s="13"/>
      <c r="U665" s="13"/>
      <c r="V665" s="13"/>
      <c r="W665" s="13"/>
    </row>
    <row r="666" ht="15.75" customHeight="1" spans="1:23">
      <c r="A666" s="13"/>
      <c r="B666" s="13"/>
      <c r="C666" s="13"/>
      <c r="D666" s="13"/>
      <c r="E666" s="13"/>
      <c r="F666" s="13"/>
      <c r="G666" s="13"/>
      <c r="H666" s="13"/>
      <c r="I666" s="13"/>
      <c r="J666" s="13"/>
      <c r="K666" s="13"/>
      <c r="L666" s="13"/>
      <c r="M666" s="13"/>
      <c r="N666" s="13"/>
      <c r="O666" s="13"/>
      <c r="P666" s="13"/>
      <c r="Q666" s="13"/>
      <c r="R666" s="13"/>
      <c r="S666" s="13"/>
      <c r="T666" s="13"/>
      <c r="U666" s="13"/>
      <c r="V666" s="13"/>
      <c r="W666" s="13"/>
    </row>
    <row r="667" ht="15.75" customHeight="1" spans="1:23">
      <c r="A667" s="13"/>
      <c r="B667" s="13"/>
      <c r="C667" s="13"/>
      <c r="D667" s="13"/>
      <c r="E667" s="13"/>
      <c r="F667" s="13"/>
      <c r="G667" s="13"/>
      <c r="H667" s="13"/>
      <c r="I667" s="13"/>
      <c r="J667" s="13"/>
      <c r="K667" s="13"/>
      <c r="L667" s="13"/>
      <c r="M667" s="13"/>
      <c r="N667" s="13"/>
      <c r="O667" s="13"/>
      <c r="P667" s="13"/>
      <c r="Q667" s="13"/>
      <c r="R667" s="13"/>
      <c r="S667" s="13"/>
      <c r="T667" s="13"/>
      <c r="U667" s="13"/>
      <c r="V667" s="13"/>
      <c r="W667" s="13"/>
    </row>
    <row r="668" ht="15.75" customHeight="1" spans="1:23">
      <c r="A668" s="13"/>
      <c r="B668" s="13"/>
      <c r="C668" s="13"/>
      <c r="D668" s="13"/>
      <c r="E668" s="13"/>
      <c r="F668" s="13"/>
      <c r="G668" s="13"/>
      <c r="H668" s="13"/>
      <c r="I668" s="13"/>
      <c r="J668" s="13"/>
      <c r="K668" s="13"/>
      <c r="L668" s="13"/>
      <c r="M668" s="13"/>
      <c r="N668" s="13"/>
      <c r="O668" s="13"/>
      <c r="P668" s="13"/>
      <c r="Q668" s="13"/>
      <c r="R668" s="13"/>
      <c r="S668" s="13"/>
      <c r="T668" s="13"/>
      <c r="U668" s="13"/>
      <c r="V668" s="13"/>
      <c r="W668" s="13"/>
    </row>
    <row r="669" ht="15.75" customHeight="1" spans="1:23">
      <c r="A669" s="13"/>
      <c r="B669" s="13"/>
      <c r="C669" s="13"/>
      <c r="D669" s="13"/>
      <c r="E669" s="13"/>
      <c r="F669" s="13"/>
      <c r="G669" s="13"/>
      <c r="H669" s="13"/>
      <c r="I669" s="13"/>
      <c r="J669" s="13"/>
      <c r="K669" s="13"/>
      <c r="L669" s="13"/>
      <c r="M669" s="13"/>
      <c r="N669" s="13"/>
      <c r="O669" s="13"/>
      <c r="P669" s="13"/>
      <c r="Q669" s="13"/>
      <c r="R669" s="13"/>
      <c r="S669" s="13"/>
      <c r="T669" s="13"/>
      <c r="U669" s="13"/>
      <c r="V669" s="13"/>
      <c r="W669" s="13"/>
    </row>
    <row r="670" ht="15.75" customHeight="1" spans="1:23">
      <c r="A670" s="13"/>
      <c r="B670" s="13"/>
      <c r="C670" s="13"/>
      <c r="D670" s="13"/>
      <c r="E670" s="13"/>
      <c r="F670" s="13"/>
      <c r="G670" s="13"/>
      <c r="H670" s="13"/>
      <c r="I670" s="13"/>
      <c r="J670" s="13"/>
      <c r="K670" s="13"/>
      <c r="L670" s="13"/>
      <c r="M670" s="13"/>
      <c r="N670" s="13"/>
      <c r="O670" s="13"/>
      <c r="P670" s="13"/>
      <c r="Q670" s="13"/>
      <c r="R670" s="13"/>
      <c r="S670" s="13"/>
      <c r="T670" s="13"/>
      <c r="U670" s="13"/>
      <c r="V670" s="13"/>
      <c r="W670" s="13"/>
    </row>
    <row r="671" ht="15.75" customHeight="1" spans="1:23">
      <c r="A671" s="13"/>
      <c r="B671" s="13"/>
      <c r="C671" s="13"/>
      <c r="D671" s="13"/>
      <c r="E671" s="13"/>
      <c r="F671" s="13"/>
      <c r="G671" s="13"/>
      <c r="H671" s="13"/>
      <c r="I671" s="13"/>
      <c r="J671" s="13"/>
      <c r="K671" s="13"/>
      <c r="L671" s="13"/>
      <c r="M671" s="13"/>
      <c r="N671" s="13"/>
      <c r="O671" s="13"/>
      <c r="P671" s="13"/>
      <c r="Q671" s="13"/>
      <c r="R671" s="13"/>
      <c r="S671" s="13"/>
      <c r="T671" s="13"/>
      <c r="U671" s="13"/>
      <c r="V671" s="13"/>
      <c r="W671" s="13"/>
    </row>
    <row r="672" ht="15.75" customHeight="1" spans="1:23">
      <c r="A672" s="13"/>
      <c r="B672" s="13"/>
      <c r="C672" s="13"/>
      <c r="D672" s="13"/>
      <c r="E672" s="13"/>
      <c r="F672" s="13"/>
      <c r="G672" s="13"/>
      <c r="H672" s="13"/>
      <c r="I672" s="13"/>
      <c r="J672" s="13"/>
      <c r="K672" s="13"/>
      <c r="L672" s="13"/>
      <c r="M672" s="13"/>
      <c r="N672" s="13"/>
      <c r="O672" s="13"/>
      <c r="P672" s="13"/>
      <c r="Q672" s="13"/>
      <c r="R672" s="13"/>
      <c r="S672" s="13"/>
      <c r="T672" s="13"/>
      <c r="U672" s="13"/>
      <c r="V672" s="13"/>
      <c r="W672" s="13"/>
    </row>
    <row r="673" ht="15.75" customHeight="1" spans="1:23">
      <c r="A673" s="13"/>
      <c r="B673" s="13"/>
      <c r="C673" s="13"/>
      <c r="D673" s="13"/>
      <c r="E673" s="13"/>
      <c r="F673" s="13"/>
      <c r="G673" s="13"/>
      <c r="H673" s="13"/>
      <c r="I673" s="13"/>
      <c r="J673" s="13"/>
      <c r="K673" s="13"/>
      <c r="L673" s="13"/>
      <c r="M673" s="13"/>
      <c r="N673" s="13"/>
      <c r="O673" s="13"/>
      <c r="P673" s="13"/>
      <c r="Q673" s="13"/>
      <c r="R673" s="13"/>
      <c r="S673" s="13"/>
      <c r="T673" s="13"/>
      <c r="U673" s="13"/>
      <c r="V673" s="13"/>
      <c r="W673" s="13"/>
    </row>
    <row r="674" ht="15.75" customHeight="1" spans="1:23">
      <c r="A674" s="13"/>
      <c r="B674" s="13"/>
      <c r="C674" s="13"/>
      <c r="D674" s="13"/>
      <c r="E674" s="13"/>
      <c r="F674" s="13"/>
      <c r="G674" s="13"/>
      <c r="H674" s="13"/>
      <c r="I674" s="13"/>
      <c r="J674" s="13"/>
      <c r="K674" s="13"/>
      <c r="L674" s="13"/>
      <c r="M674" s="13"/>
      <c r="N674" s="13"/>
      <c r="O674" s="13"/>
      <c r="P674" s="13"/>
      <c r="Q674" s="13"/>
      <c r="R674" s="13"/>
      <c r="S674" s="13"/>
      <c r="T674" s="13"/>
      <c r="U674" s="13"/>
      <c r="V674" s="13"/>
      <c r="W674" s="13"/>
    </row>
    <row r="675" ht="15.75" customHeight="1" spans="1:23">
      <c r="A675" s="13"/>
      <c r="B675" s="13"/>
      <c r="C675" s="13"/>
      <c r="D675" s="13"/>
      <c r="E675" s="13"/>
      <c r="F675" s="13"/>
      <c r="G675" s="13"/>
      <c r="H675" s="13"/>
      <c r="I675" s="13"/>
      <c r="J675" s="13"/>
      <c r="K675" s="13"/>
      <c r="L675" s="13"/>
      <c r="M675" s="13"/>
      <c r="N675" s="13"/>
      <c r="O675" s="13"/>
      <c r="P675" s="13"/>
      <c r="Q675" s="13"/>
      <c r="R675" s="13"/>
      <c r="S675" s="13"/>
      <c r="T675" s="13"/>
      <c r="U675" s="13"/>
      <c r="V675" s="13"/>
      <c r="W675" s="13"/>
    </row>
    <row r="676" ht="15.75" customHeight="1" spans="1:23">
      <c r="A676" s="13"/>
      <c r="B676" s="13"/>
      <c r="C676" s="13"/>
      <c r="D676" s="13"/>
      <c r="E676" s="13"/>
      <c r="F676" s="13"/>
      <c r="G676" s="13"/>
      <c r="H676" s="13"/>
      <c r="I676" s="13"/>
      <c r="J676" s="13"/>
      <c r="K676" s="13"/>
      <c r="L676" s="13"/>
      <c r="M676" s="13"/>
      <c r="N676" s="13"/>
      <c r="O676" s="13"/>
      <c r="P676" s="13"/>
      <c r="Q676" s="13"/>
      <c r="R676" s="13"/>
      <c r="S676" s="13"/>
      <c r="T676" s="13"/>
      <c r="U676" s="13"/>
      <c r="V676" s="13"/>
      <c r="W676" s="13"/>
    </row>
    <row r="677" ht="15.75" customHeight="1" spans="1:23">
      <c r="A677" s="13"/>
      <c r="B677" s="13"/>
      <c r="C677" s="13"/>
      <c r="D677" s="13"/>
      <c r="E677" s="13"/>
      <c r="F677" s="13"/>
      <c r="G677" s="13"/>
      <c r="H677" s="13"/>
      <c r="I677" s="13"/>
      <c r="J677" s="13"/>
      <c r="K677" s="13"/>
      <c r="L677" s="13"/>
      <c r="M677" s="13"/>
      <c r="N677" s="13"/>
      <c r="O677" s="13"/>
      <c r="P677" s="13"/>
      <c r="Q677" s="13"/>
      <c r="R677" s="13"/>
      <c r="S677" s="13"/>
      <c r="T677" s="13"/>
      <c r="U677" s="13"/>
      <c r="V677" s="13"/>
      <c r="W677" s="13"/>
    </row>
    <row r="678" ht="15.75" customHeight="1" spans="1:23">
      <c r="A678" s="13"/>
      <c r="B678" s="13"/>
      <c r="C678" s="13"/>
      <c r="D678" s="13"/>
      <c r="E678" s="13"/>
      <c r="F678" s="13"/>
      <c r="G678" s="13"/>
      <c r="H678" s="13"/>
      <c r="I678" s="13"/>
      <c r="J678" s="13"/>
      <c r="K678" s="13"/>
      <c r="L678" s="13"/>
      <c r="M678" s="13"/>
      <c r="N678" s="13"/>
      <c r="O678" s="13"/>
      <c r="P678" s="13"/>
      <c r="Q678" s="13"/>
      <c r="R678" s="13"/>
      <c r="S678" s="13"/>
      <c r="T678" s="13"/>
      <c r="U678" s="13"/>
      <c r="V678" s="13"/>
      <c r="W678" s="13"/>
    </row>
    <row r="679" ht="15.75" customHeight="1" spans="1:23">
      <c r="A679" s="13"/>
      <c r="B679" s="13"/>
      <c r="C679" s="13"/>
      <c r="D679" s="13"/>
      <c r="E679" s="13"/>
      <c r="F679" s="13"/>
      <c r="G679" s="13"/>
      <c r="H679" s="13"/>
      <c r="I679" s="13"/>
      <c r="J679" s="13"/>
      <c r="K679" s="13"/>
      <c r="L679" s="13"/>
      <c r="M679" s="13"/>
      <c r="N679" s="13"/>
      <c r="O679" s="13"/>
      <c r="P679" s="13"/>
      <c r="Q679" s="13"/>
      <c r="R679" s="13"/>
      <c r="S679" s="13"/>
      <c r="T679" s="13"/>
      <c r="U679" s="13"/>
      <c r="V679" s="13"/>
      <c r="W679" s="13"/>
    </row>
    <row r="680" ht="15.75" customHeight="1" spans="1:23">
      <c r="A680" s="13"/>
      <c r="B680" s="13"/>
      <c r="C680" s="13"/>
      <c r="D680" s="13"/>
      <c r="E680" s="13"/>
      <c r="F680" s="13"/>
      <c r="G680" s="13"/>
      <c r="H680" s="13"/>
      <c r="I680" s="13"/>
      <c r="J680" s="13"/>
      <c r="K680" s="13"/>
      <c r="L680" s="13"/>
      <c r="M680" s="13"/>
      <c r="N680" s="13"/>
      <c r="O680" s="13"/>
      <c r="P680" s="13"/>
      <c r="Q680" s="13"/>
      <c r="R680" s="13"/>
      <c r="S680" s="13"/>
      <c r="T680" s="13"/>
      <c r="U680" s="13"/>
      <c r="V680" s="13"/>
      <c r="W680" s="13"/>
    </row>
    <row r="681" ht="15.75" customHeight="1" spans="1:23">
      <c r="A681" s="13"/>
      <c r="B681" s="13"/>
      <c r="C681" s="13"/>
      <c r="D681" s="13"/>
      <c r="E681" s="13"/>
      <c r="F681" s="13"/>
      <c r="G681" s="13"/>
      <c r="H681" s="13"/>
      <c r="I681" s="13"/>
      <c r="J681" s="13"/>
      <c r="K681" s="13"/>
      <c r="L681" s="13"/>
      <c r="M681" s="13"/>
      <c r="N681" s="13"/>
      <c r="O681" s="13"/>
      <c r="P681" s="13"/>
      <c r="Q681" s="13"/>
      <c r="R681" s="13"/>
      <c r="S681" s="13"/>
      <c r="T681" s="13"/>
      <c r="U681" s="13"/>
      <c r="V681" s="13"/>
      <c r="W681" s="13"/>
    </row>
    <row r="682" ht="15.75" customHeight="1" spans="1:23">
      <c r="A682" s="13"/>
      <c r="B682" s="13"/>
      <c r="C682" s="13"/>
      <c r="D682" s="13"/>
      <c r="E682" s="13"/>
      <c r="F682" s="13"/>
      <c r="G682" s="13"/>
      <c r="H682" s="13"/>
      <c r="I682" s="13"/>
      <c r="J682" s="13"/>
      <c r="K682" s="13"/>
      <c r="L682" s="13"/>
      <c r="M682" s="13"/>
      <c r="N682" s="13"/>
      <c r="O682" s="13"/>
      <c r="P682" s="13"/>
      <c r="Q682" s="13"/>
      <c r="R682" s="13"/>
      <c r="S682" s="13"/>
      <c r="T682" s="13"/>
      <c r="U682" s="13"/>
      <c r="V682" s="13"/>
      <c r="W682" s="13"/>
    </row>
    <row r="683" ht="15.75" customHeight="1" spans="1:23">
      <c r="A683" s="13"/>
      <c r="B683" s="13"/>
      <c r="C683" s="13"/>
      <c r="D683" s="13"/>
      <c r="E683" s="13"/>
      <c r="F683" s="13"/>
      <c r="G683" s="13"/>
      <c r="H683" s="13"/>
      <c r="I683" s="13"/>
      <c r="J683" s="13"/>
      <c r="K683" s="13"/>
      <c r="L683" s="13"/>
      <c r="M683" s="13"/>
      <c r="N683" s="13"/>
      <c r="O683" s="13"/>
      <c r="P683" s="13"/>
      <c r="Q683" s="13"/>
      <c r="R683" s="13"/>
      <c r="S683" s="13"/>
      <c r="T683" s="13"/>
      <c r="U683" s="13"/>
      <c r="V683" s="13"/>
      <c r="W683" s="13"/>
    </row>
    <row r="684" ht="15.75" customHeight="1" spans="1:23">
      <c r="A684" s="13"/>
      <c r="B684" s="13"/>
      <c r="C684" s="13"/>
      <c r="D684" s="13"/>
      <c r="E684" s="13"/>
      <c r="F684" s="13"/>
      <c r="G684" s="13"/>
      <c r="H684" s="13"/>
      <c r="I684" s="13"/>
      <c r="J684" s="13"/>
      <c r="K684" s="13"/>
      <c r="L684" s="13"/>
      <c r="M684" s="13"/>
      <c r="N684" s="13"/>
      <c r="O684" s="13"/>
      <c r="P684" s="13"/>
      <c r="Q684" s="13"/>
      <c r="R684" s="13"/>
      <c r="S684" s="13"/>
      <c r="T684" s="13"/>
      <c r="U684" s="13"/>
      <c r="V684" s="13"/>
      <c r="W684" s="13"/>
    </row>
    <row r="685" ht="15.75" customHeight="1" spans="1:23">
      <c r="A685" s="13"/>
      <c r="B685" s="13"/>
      <c r="C685" s="13"/>
      <c r="D685" s="13"/>
      <c r="E685" s="13"/>
      <c r="F685" s="13"/>
      <c r="G685" s="13"/>
      <c r="H685" s="13"/>
      <c r="I685" s="13"/>
      <c r="J685" s="13"/>
      <c r="K685" s="13"/>
      <c r="L685" s="13"/>
      <c r="M685" s="13"/>
      <c r="N685" s="13"/>
      <c r="O685" s="13"/>
      <c r="P685" s="13"/>
      <c r="Q685" s="13"/>
      <c r="R685" s="13"/>
      <c r="S685" s="13"/>
      <c r="T685" s="13"/>
      <c r="U685" s="13"/>
      <c r="V685" s="13"/>
      <c r="W685" s="13"/>
    </row>
    <row r="686" ht="15.75" customHeight="1" spans="1:23">
      <c r="A686" s="13"/>
      <c r="B686" s="13"/>
      <c r="C686" s="13"/>
      <c r="D686" s="13"/>
      <c r="E686" s="13"/>
      <c r="F686" s="13"/>
      <c r="G686" s="13"/>
      <c r="H686" s="13"/>
      <c r="I686" s="13"/>
      <c r="J686" s="13"/>
      <c r="K686" s="13"/>
      <c r="L686" s="13"/>
      <c r="M686" s="13"/>
      <c r="N686" s="13"/>
      <c r="O686" s="13"/>
      <c r="P686" s="13"/>
      <c r="Q686" s="13"/>
      <c r="R686" s="13"/>
      <c r="S686" s="13"/>
      <c r="T686" s="13"/>
      <c r="U686" s="13"/>
      <c r="V686" s="13"/>
      <c r="W686" s="13"/>
    </row>
    <row r="687" ht="15.75" customHeight="1" spans="1:23">
      <c r="A687" s="13"/>
      <c r="B687" s="13"/>
      <c r="C687" s="13"/>
      <c r="D687" s="13"/>
      <c r="E687" s="13"/>
      <c r="F687" s="13"/>
      <c r="G687" s="13"/>
      <c r="H687" s="13"/>
      <c r="I687" s="13"/>
      <c r="J687" s="13"/>
      <c r="K687" s="13"/>
      <c r="L687" s="13"/>
      <c r="M687" s="13"/>
      <c r="N687" s="13"/>
      <c r="O687" s="13"/>
      <c r="P687" s="13"/>
      <c r="Q687" s="13"/>
      <c r="R687" s="13"/>
      <c r="S687" s="13"/>
      <c r="T687" s="13"/>
      <c r="U687" s="13"/>
      <c r="V687" s="13"/>
      <c r="W687" s="13"/>
    </row>
    <row r="688" ht="15.75" customHeight="1" spans="1:23">
      <c r="A688" s="13"/>
      <c r="B688" s="13"/>
      <c r="C688" s="13"/>
      <c r="D688" s="13"/>
      <c r="E688" s="13"/>
      <c r="F688" s="13"/>
      <c r="G688" s="13"/>
      <c r="H688" s="13"/>
      <c r="I688" s="13"/>
      <c r="J688" s="13"/>
      <c r="K688" s="13"/>
      <c r="L688" s="13"/>
      <c r="M688" s="13"/>
      <c r="N688" s="13"/>
      <c r="O688" s="13"/>
      <c r="P688" s="13"/>
      <c r="Q688" s="13"/>
      <c r="R688" s="13"/>
      <c r="S688" s="13"/>
      <c r="T688" s="13"/>
      <c r="U688" s="13"/>
      <c r="V688" s="13"/>
      <c r="W688" s="13"/>
    </row>
    <row r="689" ht="15.75" customHeight="1" spans="1:23">
      <c r="A689" s="13"/>
      <c r="B689" s="13"/>
      <c r="C689" s="13"/>
      <c r="D689" s="13"/>
      <c r="E689" s="13"/>
      <c r="F689" s="13"/>
      <c r="G689" s="13"/>
      <c r="H689" s="13"/>
      <c r="I689" s="13"/>
      <c r="J689" s="13"/>
      <c r="K689" s="13"/>
      <c r="L689" s="13"/>
      <c r="M689" s="13"/>
      <c r="N689" s="13"/>
      <c r="O689" s="13"/>
      <c r="P689" s="13"/>
      <c r="Q689" s="13"/>
      <c r="R689" s="13"/>
      <c r="S689" s="13"/>
      <c r="T689" s="13"/>
      <c r="U689" s="13"/>
      <c r="V689" s="13"/>
      <c r="W689" s="13"/>
    </row>
    <row r="690" ht="15.75" customHeight="1" spans="1:23">
      <c r="A690" s="13"/>
      <c r="B690" s="13"/>
      <c r="C690" s="13"/>
      <c r="D690" s="13"/>
      <c r="E690" s="13"/>
      <c r="F690" s="13"/>
      <c r="G690" s="13"/>
      <c r="H690" s="13"/>
      <c r="I690" s="13"/>
      <c r="J690" s="13"/>
      <c r="K690" s="13"/>
      <c r="L690" s="13"/>
      <c r="M690" s="13"/>
      <c r="N690" s="13"/>
      <c r="O690" s="13"/>
      <c r="P690" s="13"/>
      <c r="Q690" s="13"/>
      <c r="R690" s="13"/>
      <c r="S690" s="13"/>
      <c r="T690" s="13"/>
      <c r="U690" s="13"/>
      <c r="V690" s="13"/>
      <c r="W690" s="13"/>
    </row>
    <row r="691" ht="15.75" customHeight="1" spans="1:23">
      <c r="A691" s="13"/>
      <c r="B691" s="13"/>
      <c r="C691" s="13"/>
      <c r="D691" s="13"/>
      <c r="E691" s="13"/>
      <c r="F691" s="13"/>
      <c r="G691" s="13"/>
      <c r="H691" s="13"/>
      <c r="I691" s="13"/>
      <c r="J691" s="13"/>
      <c r="K691" s="13"/>
      <c r="L691" s="13"/>
      <c r="M691" s="13"/>
      <c r="N691" s="13"/>
      <c r="O691" s="13"/>
      <c r="P691" s="13"/>
      <c r="Q691" s="13"/>
      <c r="R691" s="13"/>
      <c r="S691" s="13"/>
      <c r="T691" s="13"/>
      <c r="U691" s="13"/>
      <c r="V691" s="13"/>
      <c r="W691" s="13"/>
    </row>
    <row r="692" ht="15.75" customHeight="1" spans="1:23">
      <c r="A692" s="13"/>
      <c r="B692" s="13"/>
      <c r="C692" s="13"/>
      <c r="D692" s="13"/>
      <c r="E692" s="13"/>
      <c r="F692" s="13"/>
      <c r="G692" s="13"/>
      <c r="H692" s="13"/>
      <c r="I692" s="13"/>
      <c r="J692" s="13"/>
      <c r="K692" s="13"/>
      <c r="L692" s="13"/>
      <c r="M692" s="13"/>
      <c r="N692" s="13"/>
      <c r="O692" s="13"/>
      <c r="P692" s="13"/>
      <c r="Q692" s="13"/>
      <c r="R692" s="13"/>
      <c r="S692" s="13"/>
      <c r="T692" s="13"/>
      <c r="U692" s="13"/>
      <c r="V692" s="13"/>
      <c r="W692" s="13"/>
    </row>
    <row r="693" ht="15.75" customHeight="1" spans="1:23">
      <c r="A693" s="13"/>
      <c r="B693" s="13"/>
      <c r="C693" s="13"/>
      <c r="D693" s="13"/>
      <c r="E693" s="13"/>
      <c r="F693" s="13"/>
      <c r="G693" s="13"/>
      <c r="H693" s="13"/>
      <c r="I693" s="13"/>
      <c r="J693" s="13"/>
      <c r="K693" s="13"/>
      <c r="L693" s="13"/>
      <c r="M693" s="13"/>
      <c r="N693" s="13"/>
      <c r="O693" s="13"/>
      <c r="P693" s="13"/>
      <c r="Q693" s="13"/>
      <c r="R693" s="13"/>
      <c r="S693" s="13"/>
      <c r="T693" s="13"/>
      <c r="U693" s="13"/>
      <c r="V693" s="13"/>
      <c r="W693" s="13"/>
    </row>
    <row r="694" ht="15.75" customHeight="1" spans="1:23">
      <c r="A694" s="13"/>
      <c r="B694" s="13"/>
      <c r="C694" s="13"/>
      <c r="D694" s="13"/>
      <c r="E694" s="13"/>
      <c r="F694" s="13"/>
      <c r="G694" s="13"/>
      <c r="H694" s="13"/>
      <c r="I694" s="13"/>
      <c r="J694" s="13"/>
      <c r="K694" s="13"/>
      <c r="L694" s="13"/>
      <c r="M694" s="13"/>
      <c r="N694" s="13"/>
      <c r="O694" s="13"/>
      <c r="P694" s="13"/>
      <c r="Q694" s="13"/>
      <c r="R694" s="13"/>
      <c r="S694" s="13"/>
      <c r="T694" s="13"/>
      <c r="U694" s="13"/>
      <c r="V694" s="13"/>
      <c r="W694" s="13"/>
    </row>
    <row r="695" ht="15.75" customHeight="1" spans="1:23">
      <c r="A695" s="13"/>
      <c r="B695" s="13"/>
      <c r="C695" s="13"/>
      <c r="D695" s="13"/>
      <c r="E695" s="13"/>
      <c r="F695" s="13"/>
      <c r="G695" s="13"/>
      <c r="H695" s="13"/>
      <c r="I695" s="13"/>
      <c r="J695" s="13"/>
      <c r="K695" s="13"/>
      <c r="L695" s="13"/>
      <c r="M695" s="13"/>
      <c r="N695" s="13"/>
      <c r="O695" s="13"/>
      <c r="P695" s="13"/>
      <c r="Q695" s="13"/>
      <c r="R695" s="13"/>
      <c r="S695" s="13"/>
      <c r="T695" s="13"/>
      <c r="U695" s="13"/>
      <c r="V695" s="13"/>
      <c r="W695" s="13"/>
    </row>
    <row r="696" ht="15.75" customHeight="1" spans="1:23">
      <c r="A696" s="13"/>
      <c r="B696" s="13"/>
      <c r="C696" s="13"/>
      <c r="D696" s="13"/>
      <c r="E696" s="13"/>
      <c r="F696" s="13"/>
      <c r="G696" s="13"/>
      <c r="H696" s="13"/>
      <c r="I696" s="13"/>
      <c r="J696" s="13"/>
      <c r="K696" s="13"/>
      <c r="L696" s="13"/>
      <c r="M696" s="13"/>
      <c r="N696" s="13"/>
      <c r="O696" s="13"/>
      <c r="P696" s="13"/>
      <c r="Q696" s="13"/>
      <c r="R696" s="13"/>
      <c r="S696" s="13"/>
      <c r="T696" s="13"/>
      <c r="U696" s="13"/>
      <c r="V696" s="13"/>
      <c r="W696" s="13"/>
    </row>
    <row r="697" ht="15.75" customHeight="1" spans="1:23">
      <c r="A697" s="13"/>
      <c r="B697" s="13"/>
      <c r="C697" s="13"/>
      <c r="D697" s="13"/>
      <c r="E697" s="13"/>
      <c r="F697" s="13"/>
      <c r="G697" s="13"/>
      <c r="H697" s="13"/>
      <c r="I697" s="13"/>
      <c r="J697" s="13"/>
      <c r="K697" s="13"/>
      <c r="L697" s="13"/>
      <c r="M697" s="13"/>
      <c r="N697" s="13"/>
      <c r="O697" s="13"/>
      <c r="P697" s="13"/>
      <c r="Q697" s="13"/>
      <c r="R697" s="13"/>
      <c r="S697" s="13"/>
      <c r="T697" s="13"/>
      <c r="U697" s="13"/>
      <c r="V697" s="13"/>
      <c r="W697" s="13"/>
    </row>
    <row r="698" ht="15.75" customHeight="1" spans="1:23">
      <c r="A698" s="13"/>
      <c r="B698" s="13"/>
      <c r="C698" s="13"/>
      <c r="D698" s="13"/>
      <c r="E698" s="13"/>
      <c r="F698" s="13"/>
      <c r="G698" s="13"/>
      <c r="H698" s="13"/>
      <c r="I698" s="13"/>
      <c r="J698" s="13"/>
      <c r="K698" s="13"/>
      <c r="L698" s="13"/>
      <c r="M698" s="13"/>
      <c r="N698" s="13"/>
      <c r="O698" s="13"/>
      <c r="P698" s="13"/>
      <c r="Q698" s="13"/>
      <c r="R698" s="13"/>
      <c r="S698" s="13"/>
      <c r="T698" s="13"/>
      <c r="U698" s="13"/>
      <c r="V698" s="13"/>
      <c r="W698" s="13"/>
    </row>
    <row r="699" ht="15.75" customHeight="1" spans="1:23">
      <c r="A699" s="13"/>
      <c r="B699" s="13"/>
      <c r="C699" s="13"/>
      <c r="D699" s="13"/>
      <c r="E699" s="13"/>
      <c r="F699" s="13"/>
      <c r="G699" s="13"/>
      <c r="H699" s="13"/>
      <c r="I699" s="13"/>
      <c r="J699" s="13"/>
      <c r="K699" s="13"/>
      <c r="L699" s="13"/>
      <c r="M699" s="13"/>
      <c r="N699" s="13"/>
      <c r="O699" s="13"/>
      <c r="P699" s="13"/>
      <c r="Q699" s="13"/>
      <c r="R699" s="13"/>
      <c r="S699" s="13"/>
      <c r="T699" s="13"/>
      <c r="U699" s="13"/>
      <c r="V699" s="13"/>
      <c r="W699" s="13"/>
    </row>
    <row r="700" ht="15.75" customHeight="1" spans="1:23">
      <c r="A700" s="13"/>
      <c r="B700" s="13"/>
      <c r="C700" s="13"/>
      <c r="D700" s="13"/>
      <c r="E700" s="13"/>
      <c r="F700" s="13"/>
      <c r="G700" s="13"/>
      <c r="H700" s="13"/>
      <c r="I700" s="13"/>
      <c r="J700" s="13"/>
      <c r="K700" s="13"/>
      <c r="L700" s="13"/>
      <c r="M700" s="13"/>
      <c r="N700" s="13"/>
      <c r="O700" s="13"/>
      <c r="P700" s="13"/>
      <c r="Q700" s="13"/>
      <c r="R700" s="13"/>
      <c r="S700" s="13"/>
      <c r="T700" s="13"/>
      <c r="U700" s="13"/>
      <c r="V700" s="13"/>
      <c r="W700" s="13"/>
    </row>
    <row r="701" ht="15.75" customHeight="1" spans="1:23">
      <c r="A701" s="13"/>
      <c r="B701" s="13"/>
      <c r="C701" s="13"/>
      <c r="D701" s="13"/>
      <c r="E701" s="13"/>
      <c r="F701" s="13"/>
      <c r="G701" s="13"/>
      <c r="H701" s="13"/>
      <c r="I701" s="13"/>
      <c r="J701" s="13"/>
      <c r="K701" s="13"/>
      <c r="L701" s="13"/>
      <c r="M701" s="13"/>
      <c r="N701" s="13"/>
      <c r="O701" s="13"/>
      <c r="P701" s="13"/>
      <c r="Q701" s="13"/>
      <c r="R701" s="13"/>
      <c r="S701" s="13"/>
      <c r="T701" s="13"/>
      <c r="U701" s="13"/>
      <c r="V701" s="13"/>
      <c r="W701" s="13"/>
    </row>
    <row r="702" ht="15.75" customHeight="1" spans="1:23">
      <c r="A702" s="13"/>
      <c r="B702" s="13"/>
      <c r="C702" s="13"/>
      <c r="D702" s="13"/>
      <c r="E702" s="13"/>
      <c r="F702" s="13"/>
      <c r="G702" s="13"/>
      <c r="H702" s="13"/>
      <c r="I702" s="13"/>
      <c r="J702" s="13"/>
      <c r="K702" s="13"/>
      <c r="L702" s="13"/>
      <c r="M702" s="13"/>
      <c r="N702" s="13"/>
      <c r="O702" s="13"/>
      <c r="P702" s="13"/>
      <c r="Q702" s="13"/>
      <c r="R702" s="13"/>
      <c r="S702" s="13"/>
      <c r="T702" s="13"/>
      <c r="U702" s="13"/>
      <c r="V702" s="13"/>
      <c r="W702" s="13"/>
    </row>
    <row r="703" ht="15.75" customHeight="1" spans="1:23">
      <c r="A703" s="13"/>
      <c r="B703" s="13"/>
      <c r="C703" s="13"/>
      <c r="D703" s="13"/>
      <c r="E703" s="13"/>
      <c r="F703" s="13"/>
      <c r="G703" s="13"/>
      <c r="H703" s="13"/>
      <c r="I703" s="13"/>
      <c r="J703" s="13"/>
      <c r="K703" s="13"/>
      <c r="L703" s="13"/>
      <c r="M703" s="13"/>
      <c r="N703" s="13"/>
      <c r="O703" s="13"/>
      <c r="P703" s="13"/>
      <c r="Q703" s="13"/>
      <c r="R703" s="13"/>
      <c r="S703" s="13"/>
      <c r="T703" s="13"/>
      <c r="U703" s="13"/>
      <c r="V703" s="13"/>
      <c r="W703" s="13"/>
    </row>
    <row r="704" ht="15.75" customHeight="1" spans="1:23">
      <c r="A704" s="13"/>
      <c r="B704" s="13"/>
      <c r="C704" s="13"/>
      <c r="D704" s="13"/>
      <c r="E704" s="13"/>
      <c r="F704" s="13"/>
      <c r="G704" s="13"/>
      <c r="H704" s="13"/>
      <c r="I704" s="13"/>
      <c r="J704" s="13"/>
      <c r="K704" s="13"/>
      <c r="L704" s="13"/>
      <c r="M704" s="13"/>
      <c r="N704" s="13"/>
      <c r="O704" s="13"/>
      <c r="P704" s="13"/>
      <c r="Q704" s="13"/>
      <c r="R704" s="13"/>
      <c r="S704" s="13"/>
      <c r="T704" s="13"/>
      <c r="U704" s="13"/>
      <c r="V704" s="13"/>
      <c r="W704" s="13"/>
    </row>
    <row r="705" ht="15.75" customHeight="1" spans="1:23">
      <c r="A705" s="13"/>
      <c r="B705" s="13"/>
      <c r="C705" s="13"/>
      <c r="D705" s="13"/>
      <c r="E705" s="13"/>
      <c r="F705" s="13"/>
      <c r="G705" s="13"/>
      <c r="H705" s="13"/>
      <c r="I705" s="13"/>
      <c r="J705" s="13"/>
      <c r="K705" s="13"/>
      <c r="L705" s="13"/>
      <c r="M705" s="13"/>
      <c r="N705" s="13"/>
      <c r="O705" s="13"/>
      <c r="P705" s="13"/>
      <c r="Q705" s="13"/>
      <c r="R705" s="13"/>
      <c r="S705" s="13"/>
      <c r="T705" s="13"/>
      <c r="U705" s="13"/>
      <c r="V705" s="13"/>
      <c r="W705" s="13"/>
    </row>
    <row r="706" ht="15.75" customHeight="1" spans="1:23">
      <c r="A706" s="13"/>
      <c r="B706" s="13"/>
      <c r="C706" s="13"/>
      <c r="D706" s="13"/>
      <c r="E706" s="13"/>
      <c r="F706" s="13"/>
      <c r="G706" s="13"/>
      <c r="H706" s="13"/>
      <c r="I706" s="13"/>
      <c r="J706" s="13"/>
      <c r="K706" s="13"/>
      <c r="L706" s="13"/>
      <c r="M706" s="13"/>
      <c r="N706" s="13"/>
      <c r="O706" s="13"/>
      <c r="P706" s="13"/>
      <c r="Q706" s="13"/>
      <c r="R706" s="13"/>
      <c r="S706" s="13"/>
      <c r="T706" s="13"/>
      <c r="U706" s="13"/>
      <c r="V706" s="13"/>
      <c r="W706" s="13"/>
    </row>
    <row r="707" ht="15.75" customHeight="1" spans="1:23">
      <c r="A707" s="13"/>
      <c r="B707" s="13"/>
      <c r="C707" s="13"/>
      <c r="D707" s="13"/>
      <c r="E707" s="13"/>
      <c r="F707" s="13"/>
      <c r="G707" s="13"/>
      <c r="H707" s="13"/>
      <c r="I707" s="13"/>
      <c r="J707" s="13"/>
      <c r="K707" s="13"/>
      <c r="L707" s="13"/>
      <c r="M707" s="13"/>
      <c r="N707" s="13"/>
      <c r="O707" s="13"/>
      <c r="P707" s="13"/>
      <c r="Q707" s="13"/>
      <c r="R707" s="13"/>
      <c r="S707" s="13"/>
      <c r="T707" s="13"/>
      <c r="U707" s="13"/>
      <c r="V707" s="13"/>
      <c r="W707" s="13"/>
    </row>
    <row r="708" ht="15.75" customHeight="1" spans="1:23">
      <c r="A708" s="13"/>
      <c r="B708" s="13"/>
      <c r="C708" s="13"/>
      <c r="D708" s="13"/>
      <c r="E708" s="13"/>
      <c r="F708" s="13"/>
      <c r="G708" s="13"/>
      <c r="H708" s="13"/>
      <c r="I708" s="13"/>
      <c r="J708" s="13"/>
      <c r="K708" s="13"/>
      <c r="L708" s="13"/>
      <c r="M708" s="13"/>
      <c r="N708" s="13"/>
      <c r="O708" s="13"/>
      <c r="P708" s="13"/>
      <c r="Q708" s="13"/>
      <c r="R708" s="13"/>
      <c r="S708" s="13"/>
      <c r="T708" s="13"/>
      <c r="U708" s="13"/>
      <c r="V708" s="13"/>
      <c r="W708" s="13"/>
    </row>
    <row r="709" ht="15.75" customHeight="1" spans="1:23">
      <c r="A709" s="13"/>
      <c r="B709" s="13"/>
      <c r="C709" s="13"/>
      <c r="D709" s="13"/>
      <c r="E709" s="13"/>
      <c r="F709" s="13"/>
      <c r="G709" s="13"/>
      <c r="H709" s="13"/>
      <c r="I709" s="13"/>
      <c r="J709" s="13"/>
      <c r="K709" s="13"/>
      <c r="L709" s="13"/>
      <c r="M709" s="13"/>
      <c r="N709" s="13"/>
      <c r="O709" s="13"/>
      <c r="P709" s="13"/>
      <c r="Q709" s="13"/>
      <c r="R709" s="13"/>
      <c r="S709" s="13"/>
      <c r="T709" s="13"/>
      <c r="U709" s="13"/>
      <c r="V709" s="13"/>
      <c r="W709" s="13"/>
    </row>
    <row r="710" ht="15.75" customHeight="1" spans="1:23">
      <c r="A710" s="13"/>
      <c r="B710" s="13"/>
      <c r="C710" s="13"/>
      <c r="D710" s="13"/>
      <c r="E710" s="13"/>
      <c r="F710" s="13"/>
      <c r="G710" s="13"/>
      <c r="H710" s="13"/>
      <c r="I710" s="13"/>
      <c r="J710" s="13"/>
      <c r="K710" s="13"/>
      <c r="L710" s="13"/>
      <c r="M710" s="13"/>
      <c r="N710" s="13"/>
      <c r="O710" s="13"/>
      <c r="P710" s="13"/>
      <c r="Q710" s="13"/>
      <c r="R710" s="13"/>
      <c r="S710" s="13"/>
      <c r="T710" s="13"/>
      <c r="U710" s="13"/>
      <c r="V710" s="13"/>
      <c r="W710" s="13"/>
    </row>
    <row r="711" ht="15.75" customHeight="1" spans="1:23">
      <c r="A711" s="13"/>
      <c r="B711" s="13"/>
      <c r="C711" s="13"/>
      <c r="D711" s="13"/>
      <c r="E711" s="13"/>
      <c r="F711" s="13"/>
      <c r="G711" s="13"/>
      <c r="H711" s="13"/>
      <c r="I711" s="13"/>
      <c r="J711" s="13"/>
      <c r="K711" s="13"/>
      <c r="L711" s="13"/>
      <c r="M711" s="13"/>
      <c r="N711" s="13"/>
      <c r="O711" s="13"/>
      <c r="P711" s="13"/>
      <c r="Q711" s="13"/>
      <c r="R711" s="13"/>
      <c r="S711" s="13"/>
      <c r="T711" s="13"/>
      <c r="U711" s="13"/>
      <c r="V711" s="13"/>
      <c r="W711" s="13"/>
    </row>
    <row r="712" ht="15.75" customHeight="1" spans="1:23">
      <c r="A712" s="13"/>
      <c r="B712" s="13"/>
      <c r="C712" s="13"/>
      <c r="D712" s="13"/>
      <c r="E712" s="13"/>
      <c r="F712" s="13"/>
      <c r="G712" s="13"/>
      <c r="H712" s="13"/>
      <c r="I712" s="13"/>
      <c r="J712" s="13"/>
      <c r="K712" s="13"/>
      <c r="L712" s="13"/>
      <c r="M712" s="13"/>
      <c r="N712" s="13"/>
      <c r="O712" s="13"/>
      <c r="P712" s="13"/>
      <c r="Q712" s="13"/>
      <c r="R712" s="13"/>
      <c r="S712" s="13"/>
      <c r="T712" s="13"/>
      <c r="U712" s="13"/>
      <c r="V712" s="13"/>
      <c r="W712" s="13"/>
    </row>
    <row r="713" ht="15.75" customHeight="1" spans="1:23">
      <c r="A713" s="13"/>
      <c r="B713" s="13"/>
      <c r="C713" s="13"/>
      <c r="D713" s="13"/>
      <c r="E713" s="13"/>
      <c r="F713" s="13"/>
      <c r="G713" s="13"/>
      <c r="H713" s="13"/>
      <c r="I713" s="13"/>
      <c r="J713" s="13"/>
      <c r="K713" s="13"/>
      <c r="L713" s="13"/>
      <c r="M713" s="13"/>
      <c r="N713" s="13"/>
      <c r="O713" s="13"/>
      <c r="P713" s="13"/>
      <c r="Q713" s="13"/>
      <c r="R713" s="13"/>
      <c r="S713" s="13"/>
      <c r="T713" s="13"/>
      <c r="U713" s="13"/>
      <c r="V713" s="13"/>
      <c r="W713" s="13"/>
    </row>
    <row r="714" ht="15.75" customHeight="1" spans="1:23">
      <c r="A714" s="13"/>
      <c r="B714" s="13"/>
      <c r="C714" s="13"/>
      <c r="D714" s="13"/>
      <c r="E714" s="13"/>
      <c r="F714" s="13"/>
      <c r="G714" s="13"/>
      <c r="H714" s="13"/>
      <c r="I714" s="13"/>
      <c r="J714" s="13"/>
      <c r="K714" s="13"/>
      <c r="L714" s="13"/>
      <c r="M714" s="13"/>
      <c r="N714" s="13"/>
      <c r="O714" s="13"/>
      <c r="P714" s="13"/>
      <c r="Q714" s="13"/>
      <c r="R714" s="13"/>
      <c r="S714" s="13"/>
      <c r="T714" s="13"/>
      <c r="U714" s="13"/>
      <c r="V714" s="13"/>
      <c r="W714" s="13"/>
    </row>
    <row r="715" ht="15.75" customHeight="1" spans="1:23">
      <c r="A715" s="13"/>
      <c r="B715" s="13"/>
      <c r="C715" s="13"/>
      <c r="D715" s="13"/>
      <c r="E715" s="13"/>
      <c r="F715" s="13"/>
      <c r="G715" s="13"/>
      <c r="H715" s="13"/>
      <c r="I715" s="13"/>
      <c r="J715" s="13"/>
      <c r="K715" s="13"/>
      <c r="L715" s="13"/>
      <c r="M715" s="13"/>
      <c r="N715" s="13"/>
      <c r="O715" s="13"/>
      <c r="P715" s="13"/>
      <c r="Q715" s="13"/>
      <c r="R715" s="13"/>
      <c r="S715" s="13"/>
      <c r="T715" s="13"/>
      <c r="U715" s="13"/>
      <c r="V715" s="13"/>
      <c r="W715" s="13"/>
    </row>
    <row r="716" ht="15.75" customHeight="1" spans="1:23">
      <c r="A716" s="13"/>
      <c r="B716" s="13"/>
      <c r="C716" s="13"/>
      <c r="D716" s="13"/>
      <c r="E716" s="13"/>
      <c r="F716" s="13"/>
      <c r="G716" s="13"/>
      <c r="H716" s="13"/>
      <c r="I716" s="13"/>
      <c r="J716" s="13"/>
      <c r="K716" s="13"/>
      <c r="L716" s="13"/>
      <c r="M716" s="13"/>
      <c r="N716" s="13"/>
      <c r="O716" s="13"/>
      <c r="P716" s="13"/>
      <c r="Q716" s="13"/>
      <c r="R716" s="13"/>
      <c r="S716" s="13"/>
      <c r="T716" s="13"/>
      <c r="U716" s="13"/>
      <c r="V716" s="13"/>
      <c r="W716" s="13"/>
    </row>
    <row r="717" ht="15.75" customHeight="1" spans="1:23">
      <c r="A717" s="13"/>
      <c r="B717" s="13"/>
      <c r="C717" s="13"/>
      <c r="D717" s="13"/>
      <c r="E717" s="13"/>
      <c r="F717" s="13"/>
      <c r="G717" s="13"/>
      <c r="H717" s="13"/>
      <c r="I717" s="13"/>
      <c r="J717" s="13"/>
      <c r="K717" s="13"/>
      <c r="L717" s="13"/>
      <c r="M717" s="13"/>
      <c r="N717" s="13"/>
      <c r="O717" s="13"/>
      <c r="P717" s="13"/>
      <c r="Q717" s="13"/>
      <c r="R717" s="13"/>
      <c r="S717" s="13"/>
      <c r="T717" s="13"/>
      <c r="U717" s="13"/>
      <c r="V717" s="13"/>
      <c r="W717" s="13"/>
    </row>
    <row r="718" ht="15.75" customHeight="1" spans="1:23">
      <c r="A718" s="13"/>
      <c r="B718" s="13"/>
      <c r="C718" s="13"/>
      <c r="D718" s="13"/>
      <c r="E718" s="13"/>
      <c r="F718" s="13"/>
      <c r="G718" s="13"/>
      <c r="H718" s="13"/>
      <c r="I718" s="13"/>
      <c r="J718" s="13"/>
      <c r="K718" s="13"/>
      <c r="L718" s="13"/>
      <c r="M718" s="13"/>
      <c r="N718" s="13"/>
      <c r="O718" s="13"/>
      <c r="P718" s="13"/>
      <c r="Q718" s="13"/>
      <c r="R718" s="13"/>
      <c r="S718" s="13"/>
      <c r="T718" s="13"/>
      <c r="U718" s="13"/>
      <c r="V718" s="13"/>
      <c r="W718" s="13"/>
    </row>
    <row r="719" ht="15.75" customHeight="1" spans="1:23">
      <c r="A719" s="13"/>
      <c r="B719" s="13"/>
      <c r="C719" s="13"/>
      <c r="D719" s="13"/>
      <c r="E719" s="13"/>
      <c r="F719" s="13"/>
      <c r="G719" s="13"/>
      <c r="H719" s="13"/>
      <c r="I719" s="13"/>
      <c r="J719" s="13"/>
      <c r="K719" s="13"/>
      <c r="L719" s="13"/>
      <c r="M719" s="13"/>
      <c r="N719" s="13"/>
      <c r="O719" s="13"/>
      <c r="P719" s="13"/>
      <c r="Q719" s="13"/>
      <c r="R719" s="13"/>
      <c r="S719" s="13"/>
      <c r="T719" s="13"/>
      <c r="U719" s="13"/>
      <c r="V719" s="13"/>
      <c r="W719" s="13"/>
    </row>
    <row r="720" ht="15.75" customHeight="1" spans="1:23">
      <c r="A720" s="13"/>
      <c r="B720" s="13"/>
      <c r="C720" s="13"/>
      <c r="D720" s="13"/>
      <c r="E720" s="13"/>
      <c r="F720" s="13"/>
      <c r="G720" s="13"/>
      <c r="H720" s="13"/>
      <c r="I720" s="13"/>
      <c r="J720" s="13"/>
      <c r="K720" s="13"/>
      <c r="L720" s="13"/>
      <c r="M720" s="13"/>
      <c r="N720" s="13"/>
      <c r="O720" s="13"/>
      <c r="P720" s="13"/>
      <c r="Q720" s="13"/>
      <c r="R720" s="13"/>
      <c r="S720" s="13"/>
      <c r="T720" s="13"/>
      <c r="U720" s="13"/>
      <c r="V720" s="13"/>
      <c r="W720" s="13"/>
    </row>
    <row r="721" ht="15.75" customHeight="1" spans="1:23">
      <c r="A721" s="13"/>
      <c r="B721" s="13"/>
      <c r="C721" s="13"/>
      <c r="D721" s="13"/>
      <c r="E721" s="13"/>
      <c r="F721" s="13"/>
      <c r="G721" s="13"/>
      <c r="H721" s="13"/>
      <c r="I721" s="13"/>
      <c r="J721" s="13"/>
      <c r="K721" s="13"/>
      <c r="L721" s="13"/>
      <c r="M721" s="13"/>
      <c r="N721" s="13"/>
      <c r="O721" s="13"/>
      <c r="P721" s="13"/>
      <c r="Q721" s="13"/>
      <c r="R721" s="13"/>
      <c r="S721" s="13"/>
      <c r="T721" s="13"/>
      <c r="U721" s="13"/>
      <c r="V721" s="13"/>
      <c r="W721" s="13"/>
    </row>
    <row r="722" ht="15.75" customHeight="1" spans="1:23">
      <c r="A722" s="13"/>
      <c r="B722" s="13"/>
      <c r="C722" s="13"/>
      <c r="D722" s="13"/>
      <c r="E722" s="13"/>
      <c r="F722" s="13"/>
      <c r="G722" s="13"/>
      <c r="H722" s="13"/>
      <c r="I722" s="13"/>
      <c r="J722" s="13"/>
      <c r="K722" s="13"/>
      <c r="L722" s="13"/>
      <c r="M722" s="13"/>
      <c r="N722" s="13"/>
      <c r="O722" s="13"/>
      <c r="P722" s="13"/>
      <c r="Q722" s="13"/>
      <c r="R722" s="13"/>
      <c r="S722" s="13"/>
      <c r="T722" s="13"/>
      <c r="U722" s="13"/>
      <c r="V722" s="13"/>
      <c r="W722" s="13"/>
    </row>
    <row r="723" ht="15.75" customHeight="1" spans="1:23">
      <c r="A723" s="13"/>
      <c r="B723" s="13"/>
      <c r="C723" s="13"/>
      <c r="D723" s="13"/>
      <c r="E723" s="13"/>
      <c r="F723" s="13"/>
      <c r="G723" s="13"/>
      <c r="H723" s="13"/>
      <c r="I723" s="13"/>
      <c r="J723" s="13"/>
      <c r="K723" s="13"/>
      <c r="L723" s="13"/>
      <c r="M723" s="13"/>
      <c r="N723" s="13"/>
      <c r="O723" s="13"/>
      <c r="P723" s="13"/>
      <c r="Q723" s="13"/>
      <c r="R723" s="13"/>
      <c r="S723" s="13"/>
      <c r="T723" s="13"/>
      <c r="U723" s="13"/>
      <c r="V723" s="13"/>
      <c r="W723" s="13"/>
    </row>
    <row r="724" ht="15.75" customHeight="1" spans="1:23">
      <c r="A724" s="13"/>
      <c r="B724" s="13"/>
      <c r="C724" s="13"/>
      <c r="D724" s="13"/>
      <c r="E724" s="13"/>
      <c r="F724" s="13"/>
      <c r="G724" s="13"/>
      <c r="H724" s="13"/>
      <c r="I724" s="13"/>
      <c r="J724" s="13"/>
      <c r="K724" s="13"/>
      <c r="L724" s="13"/>
      <c r="M724" s="13"/>
      <c r="N724" s="13"/>
      <c r="O724" s="13"/>
      <c r="P724" s="13"/>
      <c r="Q724" s="13"/>
      <c r="R724" s="13"/>
      <c r="S724" s="13"/>
      <c r="T724" s="13"/>
      <c r="U724" s="13"/>
      <c r="V724" s="13"/>
      <c r="W724" s="13"/>
    </row>
    <row r="725" ht="15.75" customHeight="1" spans="1:23">
      <c r="A725" s="13"/>
      <c r="B725" s="13"/>
      <c r="C725" s="13"/>
      <c r="D725" s="13"/>
      <c r="E725" s="13"/>
      <c r="F725" s="13"/>
      <c r="G725" s="13"/>
      <c r="H725" s="13"/>
      <c r="I725" s="13"/>
      <c r="J725" s="13"/>
      <c r="K725" s="13"/>
      <c r="L725" s="13"/>
      <c r="M725" s="13"/>
      <c r="N725" s="13"/>
      <c r="O725" s="13"/>
      <c r="P725" s="13"/>
      <c r="Q725" s="13"/>
      <c r="R725" s="13"/>
      <c r="S725" s="13"/>
      <c r="T725" s="13"/>
      <c r="U725" s="13"/>
      <c r="V725" s="13"/>
      <c r="W725" s="13"/>
    </row>
    <row r="726" ht="15.75" customHeight="1" spans="1:23">
      <c r="A726" s="13"/>
      <c r="B726" s="13"/>
      <c r="C726" s="13"/>
      <c r="D726" s="13"/>
      <c r="E726" s="13"/>
      <c r="F726" s="13"/>
      <c r="G726" s="13"/>
      <c r="H726" s="13"/>
      <c r="I726" s="13"/>
      <c r="J726" s="13"/>
      <c r="K726" s="13"/>
      <c r="L726" s="13"/>
      <c r="M726" s="13"/>
      <c r="N726" s="13"/>
      <c r="O726" s="13"/>
      <c r="P726" s="13"/>
      <c r="Q726" s="13"/>
      <c r="R726" s="13"/>
      <c r="S726" s="13"/>
      <c r="T726" s="13"/>
      <c r="U726" s="13"/>
      <c r="V726" s="13"/>
      <c r="W726" s="13"/>
    </row>
    <row r="727" ht="15.75" customHeight="1" spans="1:23">
      <c r="A727" s="13"/>
      <c r="B727" s="13"/>
      <c r="C727" s="13"/>
      <c r="D727" s="13"/>
      <c r="E727" s="13"/>
      <c r="F727" s="13"/>
      <c r="G727" s="13"/>
      <c r="H727" s="13"/>
      <c r="I727" s="13"/>
      <c r="J727" s="13"/>
      <c r="K727" s="13"/>
      <c r="L727" s="13"/>
      <c r="M727" s="13"/>
      <c r="N727" s="13"/>
      <c r="O727" s="13"/>
      <c r="P727" s="13"/>
      <c r="Q727" s="13"/>
      <c r="R727" s="13"/>
      <c r="S727" s="13"/>
      <c r="T727" s="13"/>
      <c r="U727" s="13"/>
      <c r="V727" s="13"/>
      <c r="W727" s="13"/>
    </row>
    <row r="728" ht="15.75" customHeight="1" spans="1:23">
      <c r="A728" s="13"/>
      <c r="B728" s="13"/>
      <c r="C728" s="13"/>
      <c r="D728" s="13"/>
      <c r="E728" s="13"/>
      <c r="F728" s="13"/>
      <c r="G728" s="13"/>
      <c r="H728" s="13"/>
      <c r="I728" s="13"/>
      <c r="J728" s="13"/>
      <c r="K728" s="13"/>
      <c r="L728" s="13"/>
      <c r="M728" s="13"/>
      <c r="N728" s="13"/>
      <c r="O728" s="13"/>
      <c r="P728" s="13"/>
      <c r="Q728" s="13"/>
      <c r="R728" s="13"/>
      <c r="S728" s="13"/>
      <c r="T728" s="13"/>
      <c r="U728" s="13"/>
      <c r="V728" s="13"/>
      <c r="W728" s="13"/>
    </row>
    <row r="729" ht="15.75" customHeight="1" spans="1:23">
      <c r="A729" s="13"/>
      <c r="B729" s="13"/>
      <c r="C729" s="13"/>
      <c r="D729" s="13"/>
      <c r="E729" s="13"/>
      <c r="F729" s="13"/>
      <c r="G729" s="13"/>
      <c r="H729" s="13"/>
      <c r="I729" s="13"/>
      <c r="J729" s="13"/>
      <c r="K729" s="13"/>
      <c r="L729" s="13"/>
      <c r="M729" s="13"/>
      <c r="N729" s="13"/>
      <c r="O729" s="13"/>
      <c r="P729" s="13"/>
      <c r="Q729" s="13"/>
      <c r="R729" s="13"/>
      <c r="S729" s="13"/>
      <c r="T729" s="13"/>
      <c r="U729" s="13"/>
      <c r="V729" s="13"/>
      <c r="W729" s="13"/>
    </row>
    <row r="730" ht="15.75" customHeight="1" spans="1:23">
      <c r="A730" s="13"/>
      <c r="B730" s="13"/>
      <c r="C730" s="13"/>
      <c r="D730" s="13"/>
      <c r="E730" s="13"/>
      <c r="F730" s="13"/>
      <c r="G730" s="13"/>
      <c r="H730" s="13"/>
      <c r="I730" s="13"/>
      <c r="J730" s="13"/>
      <c r="K730" s="13"/>
      <c r="L730" s="13"/>
      <c r="M730" s="13"/>
      <c r="N730" s="13"/>
      <c r="O730" s="13"/>
      <c r="P730" s="13"/>
      <c r="Q730" s="13"/>
      <c r="R730" s="13"/>
      <c r="S730" s="13"/>
      <c r="T730" s="13"/>
      <c r="U730" s="13"/>
      <c r="V730" s="13"/>
      <c r="W730" s="13"/>
    </row>
    <row r="731" ht="15.75" customHeight="1" spans="1:23">
      <c r="A731" s="13"/>
      <c r="B731" s="13"/>
      <c r="C731" s="13"/>
      <c r="D731" s="13"/>
      <c r="E731" s="13"/>
      <c r="F731" s="13"/>
      <c r="G731" s="13"/>
      <c r="H731" s="13"/>
      <c r="I731" s="13"/>
      <c r="J731" s="13"/>
      <c r="K731" s="13"/>
      <c r="L731" s="13"/>
      <c r="M731" s="13"/>
      <c r="N731" s="13"/>
      <c r="O731" s="13"/>
      <c r="P731" s="13"/>
      <c r="Q731" s="13"/>
      <c r="R731" s="13"/>
      <c r="S731" s="13"/>
      <c r="T731" s="13"/>
      <c r="U731" s="13"/>
      <c r="V731" s="13"/>
      <c r="W731" s="13"/>
    </row>
    <row r="732" ht="15.75" customHeight="1" spans="1:23">
      <c r="A732" s="13"/>
      <c r="B732" s="13"/>
      <c r="C732" s="13"/>
      <c r="D732" s="13"/>
      <c r="E732" s="13"/>
      <c r="F732" s="13"/>
      <c r="G732" s="13"/>
      <c r="H732" s="13"/>
      <c r="I732" s="13"/>
      <c r="J732" s="13"/>
      <c r="K732" s="13"/>
      <c r="L732" s="13"/>
      <c r="M732" s="13"/>
      <c r="N732" s="13"/>
      <c r="O732" s="13"/>
      <c r="P732" s="13"/>
      <c r="Q732" s="13"/>
      <c r="R732" s="13"/>
      <c r="S732" s="13"/>
      <c r="T732" s="13"/>
      <c r="U732" s="13"/>
      <c r="V732" s="13"/>
      <c r="W732" s="13"/>
    </row>
    <row r="733" ht="15.75" customHeight="1" spans="1:23">
      <c r="A733" s="13"/>
      <c r="B733" s="13"/>
      <c r="C733" s="13"/>
      <c r="D733" s="13"/>
      <c r="E733" s="13"/>
      <c r="F733" s="13"/>
      <c r="G733" s="13"/>
      <c r="H733" s="13"/>
      <c r="I733" s="13"/>
      <c r="J733" s="13"/>
      <c r="K733" s="13"/>
      <c r="L733" s="13"/>
      <c r="M733" s="13"/>
      <c r="N733" s="13"/>
      <c r="O733" s="13"/>
      <c r="P733" s="13"/>
      <c r="Q733" s="13"/>
      <c r="R733" s="13"/>
      <c r="S733" s="13"/>
      <c r="T733" s="13"/>
      <c r="U733" s="13"/>
      <c r="V733" s="13"/>
      <c r="W733" s="13"/>
    </row>
    <row r="734" ht="15.75" customHeight="1" spans="1:23">
      <c r="A734" s="13"/>
      <c r="B734" s="13"/>
      <c r="C734" s="13"/>
      <c r="D734" s="13"/>
      <c r="E734" s="13"/>
      <c r="F734" s="13"/>
      <c r="G734" s="13"/>
      <c r="H734" s="13"/>
      <c r="I734" s="13"/>
      <c r="J734" s="13"/>
      <c r="K734" s="13"/>
      <c r="L734" s="13"/>
      <c r="M734" s="13"/>
      <c r="N734" s="13"/>
      <c r="O734" s="13"/>
      <c r="P734" s="13"/>
      <c r="Q734" s="13"/>
      <c r="R734" s="13"/>
      <c r="S734" s="13"/>
      <c r="T734" s="13"/>
      <c r="U734" s="13"/>
      <c r="V734" s="13"/>
      <c r="W734" s="13"/>
    </row>
    <row r="735" ht="15.75" customHeight="1" spans="1:23">
      <c r="A735" s="13"/>
      <c r="B735" s="13"/>
      <c r="C735" s="13"/>
      <c r="D735" s="13"/>
      <c r="E735" s="13"/>
      <c r="F735" s="13"/>
      <c r="G735" s="13"/>
      <c r="H735" s="13"/>
      <c r="I735" s="13"/>
      <c r="J735" s="13"/>
      <c r="K735" s="13"/>
      <c r="L735" s="13"/>
      <c r="M735" s="13"/>
      <c r="N735" s="13"/>
      <c r="O735" s="13"/>
      <c r="P735" s="13"/>
      <c r="Q735" s="13"/>
      <c r="R735" s="13"/>
      <c r="S735" s="13"/>
      <c r="T735" s="13"/>
      <c r="U735" s="13"/>
      <c r="V735" s="13"/>
      <c r="W735" s="13"/>
    </row>
    <row r="736" ht="15.75" customHeight="1" spans="1:23">
      <c r="A736" s="13"/>
      <c r="B736" s="13"/>
      <c r="C736" s="13"/>
      <c r="D736" s="13"/>
      <c r="E736" s="13"/>
      <c r="F736" s="13"/>
      <c r="G736" s="13"/>
      <c r="H736" s="13"/>
      <c r="I736" s="13"/>
      <c r="J736" s="13"/>
      <c r="K736" s="13"/>
      <c r="L736" s="13"/>
      <c r="M736" s="13"/>
      <c r="N736" s="13"/>
      <c r="O736" s="13"/>
      <c r="P736" s="13"/>
      <c r="Q736" s="13"/>
      <c r="R736" s="13"/>
      <c r="S736" s="13"/>
      <c r="T736" s="13"/>
      <c r="U736" s="13"/>
      <c r="V736" s="13"/>
      <c r="W736" s="13"/>
    </row>
    <row r="737" ht="15.75" customHeight="1" spans="1:23">
      <c r="A737" s="13"/>
      <c r="B737" s="13"/>
      <c r="C737" s="13"/>
      <c r="D737" s="13"/>
      <c r="E737" s="13"/>
      <c r="F737" s="13"/>
      <c r="G737" s="13"/>
      <c r="H737" s="13"/>
      <c r="I737" s="13"/>
      <c r="J737" s="13"/>
      <c r="K737" s="13"/>
      <c r="L737" s="13"/>
      <c r="M737" s="13"/>
      <c r="N737" s="13"/>
      <c r="O737" s="13"/>
      <c r="P737" s="13"/>
      <c r="Q737" s="13"/>
      <c r="R737" s="13"/>
      <c r="S737" s="13"/>
      <c r="T737" s="13"/>
      <c r="U737" s="13"/>
      <c r="V737" s="13"/>
      <c r="W737" s="13"/>
    </row>
    <row r="738" ht="15.75" customHeight="1" spans="1:23">
      <c r="A738" s="13"/>
      <c r="B738" s="13"/>
      <c r="C738" s="13"/>
      <c r="D738" s="13"/>
      <c r="E738" s="13"/>
      <c r="F738" s="13"/>
      <c r="G738" s="13"/>
      <c r="H738" s="13"/>
      <c r="I738" s="13"/>
      <c r="J738" s="13"/>
      <c r="K738" s="13"/>
      <c r="L738" s="13"/>
      <c r="M738" s="13"/>
      <c r="N738" s="13"/>
      <c r="O738" s="13"/>
      <c r="P738" s="13"/>
      <c r="Q738" s="13"/>
      <c r="R738" s="13"/>
      <c r="S738" s="13"/>
      <c r="T738" s="13"/>
      <c r="U738" s="13"/>
      <c r="V738" s="13"/>
      <c r="W738" s="13"/>
    </row>
    <row r="739" ht="15.75" customHeight="1" spans="1:23">
      <c r="A739" s="13"/>
      <c r="B739" s="13"/>
      <c r="C739" s="13"/>
      <c r="D739" s="13"/>
      <c r="E739" s="13"/>
      <c r="F739" s="13"/>
      <c r="G739" s="13"/>
      <c r="H739" s="13"/>
      <c r="I739" s="13"/>
      <c r="J739" s="13"/>
      <c r="K739" s="13"/>
      <c r="L739" s="13"/>
      <c r="M739" s="13"/>
      <c r="N739" s="13"/>
      <c r="O739" s="13"/>
      <c r="P739" s="13"/>
      <c r="Q739" s="13"/>
      <c r="R739" s="13"/>
      <c r="S739" s="13"/>
      <c r="T739" s="13"/>
      <c r="U739" s="13"/>
      <c r="V739" s="13"/>
      <c r="W739" s="13"/>
    </row>
    <row r="740" ht="15.75" customHeight="1" spans="1:23">
      <c r="A740" s="13"/>
      <c r="B740" s="13"/>
      <c r="C740" s="13"/>
      <c r="D740" s="13"/>
      <c r="E740" s="13"/>
      <c r="F740" s="13"/>
      <c r="G740" s="13"/>
      <c r="H740" s="13"/>
      <c r="I740" s="13"/>
      <c r="J740" s="13"/>
      <c r="K740" s="13"/>
      <c r="L740" s="13"/>
      <c r="M740" s="13"/>
      <c r="N740" s="13"/>
      <c r="O740" s="13"/>
      <c r="P740" s="13"/>
      <c r="Q740" s="13"/>
      <c r="R740" s="13"/>
      <c r="S740" s="13"/>
      <c r="T740" s="13"/>
      <c r="U740" s="13"/>
      <c r="V740" s="13"/>
      <c r="W740" s="13"/>
    </row>
    <row r="741" ht="15.75" customHeight="1" spans="1:23">
      <c r="A741" s="13"/>
      <c r="B741" s="13"/>
      <c r="C741" s="13"/>
      <c r="D741" s="13"/>
      <c r="E741" s="13"/>
      <c r="F741" s="13"/>
      <c r="G741" s="13"/>
      <c r="H741" s="13"/>
      <c r="I741" s="13"/>
      <c r="J741" s="13"/>
      <c r="K741" s="13"/>
      <c r="L741" s="13"/>
      <c r="M741" s="13"/>
      <c r="N741" s="13"/>
      <c r="O741" s="13"/>
      <c r="P741" s="13"/>
      <c r="Q741" s="13"/>
      <c r="R741" s="13"/>
      <c r="S741" s="13"/>
      <c r="T741" s="13"/>
      <c r="U741" s="13"/>
      <c r="V741" s="13"/>
      <c r="W741" s="13"/>
    </row>
    <row r="742" ht="15.75" customHeight="1" spans="1:23">
      <c r="A742" s="13"/>
      <c r="B742" s="13"/>
      <c r="C742" s="13"/>
      <c r="D742" s="13"/>
      <c r="E742" s="13"/>
      <c r="F742" s="13"/>
      <c r="G742" s="13"/>
      <c r="H742" s="13"/>
      <c r="I742" s="13"/>
      <c r="J742" s="13"/>
      <c r="K742" s="13"/>
      <c r="L742" s="13"/>
      <c r="M742" s="13"/>
      <c r="N742" s="13"/>
      <c r="O742" s="13"/>
      <c r="P742" s="13"/>
      <c r="Q742" s="13"/>
      <c r="R742" s="13"/>
      <c r="S742" s="13"/>
      <c r="T742" s="13"/>
      <c r="U742" s="13"/>
      <c r="V742" s="13"/>
      <c r="W742" s="13"/>
    </row>
    <row r="743" ht="15.75" customHeight="1" spans="1:23">
      <c r="A743" s="13"/>
      <c r="B743" s="13"/>
      <c r="C743" s="13"/>
      <c r="D743" s="13"/>
      <c r="E743" s="13"/>
      <c r="F743" s="13"/>
      <c r="G743" s="13"/>
      <c r="H743" s="13"/>
      <c r="I743" s="13"/>
      <c r="J743" s="13"/>
      <c r="K743" s="13"/>
      <c r="L743" s="13"/>
      <c r="M743" s="13"/>
      <c r="N743" s="13"/>
      <c r="O743" s="13"/>
      <c r="P743" s="13"/>
      <c r="Q743" s="13"/>
      <c r="R743" s="13"/>
      <c r="S743" s="13"/>
      <c r="T743" s="13"/>
      <c r="U743" s="13"/>
      <c r="V743" s="13"/>
      <c r="W743" s="13"/>
    </row>
    <row r="744" ht="15.75" customHeight="1" spans="1:23">
      <c r="A744" s="13"/>
      <c r="B744" s="13"/>
      <c r="C744" s="13"/>
      <c r="D744" s="13"/>
      <c r="E744" s="13"/>
      <c r="F744" s="13"/>
      <c r="G744" s="13"/>
      <c r="H744" s="13"/>
      <c r="I744" s="13"/>
      <c r="J744" s="13"/>
      <c r="K744" s="13"/>
      <c r="L744" s="13"/>
      <c r="M744" s="13"/>
      <c r="N744" s="13"/>
      <c r="O744" s="13"/>
      <c r="P744" s="13"/>
      <c r="Q744" s="13"/>
      <c r="R744" s="13"/>
      <c r="S744" s="13"/>
      <c r="T744" s="13"/>
      <c r="U744" s="13"/>
      <c r="V744" s="13"/>
      <c r="W744" s="13"/>
    </row>
    <row r="745" ht="15.75" customHeight="1" spans="1:23">
      <c r="A745" s="13"/>
      <c r="B745" s="13"/>
      <c r="C745" s="13"/>
      <c r="D745" s="13"/>
      <c r="E745" s="13"/>
      <c r="F745" s="13"/>
      <c r="G745" s="13"/>
      <c r="H745" s="13"/>
      <c r="I745" s="13"/>
      <c r="J745" s="13"/>
      <c r="K745" s="13"/>
      <c r="L745" s="13"/>
      <c r="M745" s="13"/>
      <c r="N745" s="13"/>
      <c r="O745" s="13"/>
      <c r="P745" s="13"/>
      <c r="Q745" s="13"/>
      <c r="R745" s="13"/>
      <c r="S745" s="13"/>
      <c r="T745" s="13"/>
      <c r="U745" s="13"/>
      <c r="V745" s="13"/>
      <c r="W745" s="13"/>
    </row>
    <row r="746" ht="15.75" customHeight="1" spans="1:23">
      <c r="A746" s="13"/>
      <c r="B746" s="13"/>
      <c r="C746" s="13"/>
      <c r="D746" s="13"/>
      <c r="E746" s="13"/>
      <c r="F746" s="13"/>
      <c r="G746" s="13"/>
      <c r="H746" s="13"/>
      <c r="I746" s="13"/>
      <c r="J746" s="13"/>
      <c r="K746" s="13"/>
      <c r="L746" s="13"/>
      <c r="M746" s="13"/>
      <c r="N746" s="13"/>
      <c r="O746" s="13"/>
      <c r="P746" s="13"/>
      <c r="Q746" s="13"/>
      <c r="R746" s="13"/>
      <c r="S746" s="13"/>
      <c r="T746" s="13"/>
      <c r="U746" s="13"/>
      <c r="V746" s="13"/>
      <c r="W746" s="13"/>
    </row>
    <row r="747" ht="15.75" customHeight="1" spans="1:23">
      <c r="A747" s="13"/>
      <c r="B747" s="13"/>
      <c r="C747" s="13"/>
      <c r="D747" s="13"/>
      <c r="E747" s="13"/>
      <c r="F747" s="13"/>
      <c r="G747" s="13"/>
      <c r="H747" s="13"/>
      <c r="I747" s="13"/>
      <c r="J747" s="13"/>
      <c r="K747" s="13"/>
      <c r="L747" s="13"/>
      <c r="M747" s="13"/>
      <c r="N747" s="13"/>
      <c r="O747" s="13"/>
      <c r="P747" s="13"/>
      <c r="Q747" s="13"/>
      <c r="R747" s="13"/>
      <c r="S747" s="13"/>
      <c r="T747" s="13"/>
      <c r="U747" s="13"/>
      <c r="V747" s="13"/>
      <c r="W747" s="13"/>
    </row>
    <row r="748" ht="15.75" customHeight="1" spans="1:23">
      <c r="A748" s="13"/>
      <c r="B748" s="13"/>
      <c r="C748" s="13"/>
      <c r="D748" s="13"/>
      <c r="E748" s="13"/>
      <c r="F748" s="13"/>
      <c r="G748" s="13"/>
      <c r="H748" s="13"/>
      <c r="I748" s="13"/>
      <c r="J748" s="13"/>
      <c r="K748" s="13"/>
      <c r="L748" s="13"/>
      <c r="M748" s="13"/>
      <c r="N748" s="13"/>
      <c r="O748" s="13"/>
      <c r="P748" s="13"/>
      <c r="Q748" s="13"/>
      <c r="R748" s="13"/>
      <c r="S748" s="13"/>
      <c r="T748" s="13"/>
      <c r="U748" s="13"/>
      <c r="V748" s="13"/>
      <c r="W748" s="13"/>
    </row>
    <row r="749" ht="15.75" customHeight="1" spans="1:23">
      <c r="A749" s="13"/>
      <c r="B749" s="13"/>
      <c r="C749" s="13"/>
      <c r="D749" s="13"/>
      <c r="E749" s="13"/>
      <c r="F749" s="13"/>
      <c r="G749" s="13"/>
      <c r="H749" s="13"/>
      <c r="I749" s="13"/>
      <c r="J749" s="13"/>
      <c r="K749" s="13"/>
      <c r="L749" s="13"/>
      <c r="M749" s="13"/>
      <c r="N749" s="13"/>
      <c r="O749" s="13"/>
      <c r="P749" s="13"/>
      <c r="Q749" s="13"/>
      <c r="R749" s="13"/>
      <c r="S749" s="13"/>
      <c r="T749" s="13"/>
      <c r="U749" s="13"/>
      <c r="V749" s="13"/>
      <c r="W749" s="13"/>
    </row>
    <row r="750" ht="15.75" customHeight="1" spans="1:23">
      <c r="A750" s="13"/>
      <c r="B750" s="13"/>
      <c r="C750" s="13"/>
      <c r="D750" s="13"/>
      <c r="E750" s="13"/>
      <c r="F750" s="13"/>
      <c r="G750" s="13"/>
      <c r="H750" s="13"/>
      <c r="I750" s="13"/>
      <c r="J750" s="13"/>
      <c r="K750" s="13"/>
      <c r="L750" s="13"/>
      <c r="M750" s="13"/>
      <c r="N750" s="13"/>
      <c r="O750" s="13"/>
      <c r="P750" s="13"/>
      <c r="Q750" s="13"/>
      <c r="R750" s="13"/>
      <c r="S750" s="13"/>
      <c r="T750" s="13"/>
      <c r="U750" s="13"/>
      <c r="V750" s="13"/>
      <c r="W750" s="13"/>
    </row>
    <row r="751" ht="15.75" customHeight="1" spans="1:23">
      <c r="A751" s="13"/>
      <c r="B751" s="13"/>
      <c r="C751" s="13"/>
      <c r="D751" s="13"/>
      <c r="E751" s="13"/>
      <c r="F751" s="13"/>
      <c r="G751" s="13"/>
      <c r="H751" s="13"/>
      <c r="I751" s="13"/>
      <c r="J751" s="13"/>
      <c r="K751" s="13"/>
      <c r="L751" s="13"/>
      <c r="M751" s="13"/>
      <c r="N751" s="13"/>
      <c r="O751" s="13"/>
      <c r="P751" s="13"/>
      <c r="Q751" s="13"/>
      <c r="R751" s="13"/>
      <c r="S751" s="13"/>
      <c r="T751" s="13"/>
      <c r="U751" s="13"/>
      <c r="V751" s="13"/>
      <c r="W751" s="13"/>
    </row>
    <row r="752" ht="15.75" customHeight="1" spans="1:23">
      <c r="A752" s="13"/>
      <c r="B752" s="13"/>
      <c r="C752" s="13"/>
      <c r="D752" s="13"/>
      <c r="E752" s="13"/>
      <c r="F752" s="13"/>
      <c r="G752" s="13"/>
      <c r="H752" s="13"/>
      <c r="I752" s="13"/>
      <c r="J752" s="13"/>
      <c r="K752" s="13"/>
      <c r="L752" s="13"/>
      <c r="M752" s="13"/>
      <c r="N752" s="13"/>
      <c r="O752" s="13"/>
      <c r="P752" s="13"/>
      <c r="Q752" s="13"/>
      <c r="R752" s="13"/>
      <c r="S752" s="13"/>
      <c r="T752" s="13"/>
      <c r="U752" s="13"/>
      <c r="V752" s="13"/>
      <c r="W752" s="13"/>
    </row>
    <row r="753" ht="15.75" customHeight="1" spans="1:23">
      <c r="A753" s="13"/>
      <c r="B753" s="13"/>
      <c r="C753" s="13"/>
      <c r="D753" s="13"/>
      <c r="E753" s="13"/>
      <c r="F753" s="13"/>
      <c r="G753" s="13"/>
      <c r="H753" s="13"/>
      <c r="I753" s="13"/>
      <c r="J753" s="13"/>
      <c r="K753" s="13"/>
      <c r="L753" s="13"/>
      <c r="M753" s="13"/>
      <c r="N753" s="13"/>
      <c r="O753" s="13"/>
      <c r="P753" s="13"/>
      <c r="Q753" s="13"/>
      <c r="R753" s="13"/>
      <c r="S753" s="13"/>
      <c r="T753" s="13"/>
      <c r="U753" s="13"/>
      <c r="V753" s="13"/>
      <c r="W753" s="13"/>
    </row>
    <row r="754" ht="15.75" customHeight="1" spans="1:23">
      <c r="A754" s="13"/>
      <c r="B754" s="13"/>
      <c r="C754" s="13"/>
      <c r="D754" s="13"/>
      <c r="E754" s="13"/>
      <c r="F754" s="13"/>
      <c r="G754" s="13"/>
      <c r="H754" s="13"/>
      <c r="I754" s="13"/>
      <c r="J754" s="13"/>
      <c r="K754" s="13"/>
      <c r="L754" s="13"/>
      <c r="M754" s="13"/>
      <c r="N754" s="13"/>
      <c r="O754" s="13"/>
      <c r="P754" s="13"/>
      <c r="Q754" s="13"/>
      <c r="R754" s="13"/>
      <c r="S754" s="13"/>
      <c r="T754" s="13"/>
      <c r="U754" s="13"/>
      <c r="V754" s="13"/>
      <c r="W754" s="13"/>
    </row>
    <row r="755" ht="15.75" customHeight="1" spans="1:23">
      <c r="A755" s="13"/>
      <c r="B755" s="13"/>
      <c r="C755" s="13"/>
      <c r="D755" s="13"/>
      <c r="E755" s="13"/>
      <c r="F755" s="13"/>
      <c r="G755" s="13"/>
      <c r="H755" s="13"/>
      <c r="I755" s="13"/>
      <c r="J755" s="13"/>
      <c r="K755" s="13"/>
      <c r="L755" s="13"/>
      <c r="M755" s="13"/>
      <c r="N755" s="13"/>
      <c r="O755" s="13"/>
      <c r="P755" s="13"/>
      <c r="Q755" s="13"/>
      <c r="R755" s="13"/>
      <c r="S755" s="13"/>
      <c r="T755" s="13"/>
      <c r="U755" s="13"/>
      <c r="V755" s="13"/>
      <c r="W755" s="13"/>
    </row>
    <row r="756" ht="15.75" customHeight="1" spans="1:23">
      <c r="A756" s="13"/>
      <c r="B756" s="13"/>
      <c r="C756" s="13"/>
      <c r="D756" s="13"/>
      <c r="E756" s="13"/>
      <c r="F756" s="13"/>
      <c r="G756" s="13"/>
      <c r="H756" s="13"/>
      <c r="I756" s="13"/>
      <c r="J756" s="13"/>
      <c r="K756" s="13"/>
      <c r="L756" s="13"/>
      <c r="M756" s="13"/>
      <c r="N756" s="13"/>
      <c r="O756" s="13"/>
      <c r="P756" s="13"/>
      <c r="Q756" s="13"/>
      <c r="R756" s="13"/>
      <c r="S756" s="13"/>
      <c r="T756" s="13"/>
      <c r="U756" s="13"/>
      <c r="V756" s="13"/>
      <c r="W756" s="13"/>
    </row>
    <row r="757" ht="15.75" customHeight="1" spans="1:23">
      <c r="A757" s="13"/>
      <c r="B757" s="13"/>
      <c r="C757" s="13"/>
      <c r="D757" s="13"/>
      <c r="E757" s="13"/>
      <c r="F757" s="13"/>
      <c r="G757" s="13"/>
      <c r="H757" s="13"/>
      <c r="I757" s="13"/>
      <c r="J757" s="13"/>
      <c r="K757" s="13"/>
      <c r="L757" s="13"/>
      <c r="M757" s="13"/>
      <c r="N757" s="13"/>
      <c r="O757" s="13"/>
      <c r="P757" s="13"/>
      <c r="Q757" s="13"/>
      <c r="R757" s="13"/>
      <c r="S757" s="13"/>
      <c r="T757" s="13"/>
      <c r="U757" s="13"/>
      <c r="V757" s="13"/>
      <c r="W757" s="13"/>
    </row>
    <row r="758" ht="15.75" customHeight="1" spans="1:23">
      <c r="A758" s="13"/>
      <c r="B758" s="13"/>
      <c r="C758" s="13"/>
      <c r="D758" s="13"/>
      <c r="E758" s="13"/>
      <c r="F758" s="13"/>
      <c r="G758" s="13"/>
      <c r="H758" s="13"/>
      <c r="I758" s="13"/>
      <c r="J758" s="13"/>
      <c r="K758" s="13"/>
      <c r="L758" s="13"/>
      <c r="M758" s="13"/>
      <c r="N758" s="13"/>
      <c r="O758" s="13"/>
      <c r="P758" s="13"/>
      <c r="Q758" s="13"/>
      <c r="R758" s="13"/>
      <c r="S758" s="13"/>
      <c r="T758" s="13"/>
      <c r="U758" s="13"/>
      <c r="V758" s="13"/>
      <c r="W758" s="13"/>
    </row>
    <row r="759" ht="15.75" customHeight="1" spans="1:23">
      <c r="A759" s="13"/>
      <c r="B759" s="13"/>
      <c r="C759" s="13"/>
      <c r="D759" s="13"/>
      <c r="E759" s="13"/>
      <c r="F759" s="13"/>
      <c r="G759" s="13"/>
      <c r="H759" s="13"/>
      <c r="I759" s="13"/>
      <c r="J759" s="13"/>
      <c r="K759" s="13"/>
      <c r="L759" s="13"/>
      <c r="M759" s="13"/>
      <c r="N759" s="13"/>
      <c r="O759" s="13"/>
      <c r="P759" s="13"/>
      <c r="Q759" s="13"/>
      <c r="R759" s="13"/>
      <c r="S759" s="13"/>
      <c r="T759" s="13"/>
      <c r="U759" s="13"/>
      <c r="V759" s="13"/>
      <c r="W759" s="13"/>
    </row>
    <row r="760" ht="15.75" customHeight="1" spans="1:23">
      <c r="A760" s="13"/>
      <c r="B760" s="13"/>
      <c r="C760" s="13"/>
      <c r="D760" s="13"/>
      <c r="E760" s="13"/>
      <c r="F760" s="13"/>
      <c r="G760" s="13"/>
      <c r="H760" s="13"/>
      <c r="I760" s="13"/>
      <c r="J760" s="13"/>
      <c r="K760" s="13"/>
      <c r="L760" s="13"/>
      <c r="M760" s="13"/>
      <c r="N760" s="13"/>
      <c r="O760" s="13"/>
      <c r="P760" s="13"/>
      <c r="Q760" s="13"/>
      <c r="R760" s="13"/>
      <c r="S760" s="13"/>
      <c r="T760" s="13"/>
      <c r="U760" s="13"/>
      <c r="V760" s="13"/>
      <c r="W760" s="13"/>
    </row>
    <row r="761" ht="15.75" customHeight="1" spans="1:23">
      <c r="A761" s="13"/>
      <c r="B761" s="13"/>
      <c r="C761" s="13"/>
      <c r="D761" s="13"/>
      <c r="E761" s="13"/>
      <c r="F761" s="13"/>
      <c r="G761" s="13"/>
      <c r="H761" s="13"/>
      <c r="I761" s="13"/>
      <c r="J761" s="13"/>
      <c r="K761" s="13"/>
      <c r="L761" s="13"/>
      <c r="M761" s="13"/>
      <c r="N761" s="13"/>
      <c r="O761" s="13"/>
      <c r="P761" s="13"/>
      <c r="Q761" s="13"/>
      <c r="R761" s="13"/>
      <c r="S761" s="13"/>
      <c r="T761" s="13"/>
      <c r="U761" s="13"/>
      <c r="V761" s="13"/>
      <c r="W761" s="13"/>
    </row>
    <row r="762" ht="15.75" customHeight="1" spans="1:23">
      <c r="A762" s="13"/>
      <c r="B762" s="13"/>
      <c r="C762" s="13"/>
      <c r="D762" s="13"/>
      <c r="E762" s="13"/>
      <c r="F762" s="13"/>
      <c r="G762" s="13"/>
      <c r="H762" s="13"/>
      <c r="I762" s="13"/>
      <c r="J762" s="13"/>
      <c r="K762" s="13"/>
      <c r="L762" s="13"/>
      <c r="M762" s="13"/>
      <c r="N762" s="13"/>
      <c r="O762" s="13"/>
      <c r="P762" s="13"/>
      <c r="Q762" s="13"/>
      <c r="R762" s="13"/>
      <c r="S762" s="13"/>
      <c r="T762" s="13"/>
      <c r="U762" s="13"/>
      <c r="V762" s="13"/>
      <c r="W762" s="13"/>
    </row>
    <row r="763" ht="15.75" customHeight="1" spans="1:23">
      <c r="A763" s="13"/>
      <c r="B763" s="13"/>
      <c r="C763" s="13"/>
      <c r="D763" s="13"/>
      <c r="E763" s="13"/>
      <c r="F763" s="13"/>
      <c r="G763" s="13"/>
      <c r="H763" s="13"/>
      <c r="I763" s="13"/>
      <c r="J763" s="13"/>
      <c r="K763" s="13"/>
      <c r="L763" s="13"/>
      <c r="M763" s="13"/>
      <c r="N763" s="13"/>
      <c r="O763" s="13"/>
      <c r="P763" s="13"/>
      <c r="Q763" s="13"/>
      <c r="R763" s="13"/>
      <c r="S763" s="13"/>
      <c r="T763" s="13"/>
      <c r="U763" s="13"/>
      <c r="V763" s="13"/>
      <c r="W763" s="13"/>
    </row>
    <row r="764" ht="15.75" customHeight="1" spans="1:23">
      <c r="A764" s="13"/>
      <c r="B764" s="13"/>
      <c r="C764" s="13"/>
      <c r="D764" s="13"/>
      <c r="E764" s="13"/>
      <c r="F764" s="13"/>
      <c r="G764" s="13"/>
      <c r="H764" s="13"/>
      <c r="I764" s="13"/>
      <c r="J764" s="13"/>
      <c r="K764" s="13"/>
      <c r="L764" s="13"/>
      <c r="M764" s="13"/>
      <c r="N764" s="13"/>
      <c r="O764" s="13"/>
      <c r="P764" s="13"/>
      <c r="Q764" s="13"/>
      <c r="R764" s="13"/>
      <c r="S764" s="13"/>
      <c r="T764" s="13"/>
      <c r="U764" s="13"/>
      <c r="V764" s="13"/>
      <c r="W764" s="13"/>
    </row>
    <row r="765" ht="15.75" customHeight="1" spans="1:23">
      <c r="A765" s="13"/>
      <c r="B765" s="13"/>
      <c r="C765" s="13"/>
      <c r="D765" s="13"/>
      <c r="E765" s="13"/>
      <c r="F765" s="13"/>
      <c r="G765" s="13"/>
      <c r="H765" s="13"/>
      <c r="I765" s="13"/>
      <c r="J765" s="13"/>
      <c r="K765" s="13"/>
      <c r="L765" s="13"/>
      <c r="M765" s="13"/>
      <c r="N765" s="13"/>
      <c r="O765" s="13"/>
      <c r="P765" s="13"/>
      <c r="Q765" s="13"/>
      <c r="R765" s="13"/>
      <c r="S765" s="13"/>
      <c r="T765" s="13"/>
      <c r="U765" s="13"/>
      <c r="V765" s="13"/>
      <c r="W765" s="13"/>
    </row>
    <row r="766" ht="15.75" customHeight="1" spans="1:23">
      <c r="A766" s="13"/>
      <c r="B766" s="13"/>
      <c r="C766" s="13"/>
      <c r="D766" s="13"/>
      <c r="E766" s="13"/>
      <c r="F766" s="13"/>
      <c r="G766" s="13"/>
      <c r="H766" s="13"/>
      <c r="I766" s="13"/>
      <c r="J766" s="13"/>
      <c r="K766" s="13"/>
      <c r="L766" s="13"/>
      <c r="M766" s="13"/>
      <c r="N766" s="13"/>
      <c r="O766" s="13"/>
      <c r="P766" s="13"/>
      <c r="Q766" s="13"/>
      <c r="R766" s="13"/>
      <c r="S766" s="13"/>
      <c r="T766" s="13"/>
      <c r="U766" s="13"/>
      <c r="V766" s="13"/>
      <c r="W766" s="13"/>
    </row>
    <row r="767" ht="15.75" customHeight="1" spans="1:23">
      <c r="A767" s="13"/>
      <c r="B767" s="13"/>
      <c r="C767" s="13"/>
      <c r="D767" s="13"/>
      <c r="E767" s="13"/>
      <c r="F767" s="13"/>
      <c r="G767" s="13"/>
      <c r="H767" s="13"/>
      <c r="I767" s="13"/>
      <c r="J767" s="13"/>
      <c r="K767" s="13"/>
      <c r="L767" s="13"/>
      <c r="M767" s="13"/>
      <c r="N767" s="13"/>
      <c r="O767" s="13"/>
      <c r="P767" s="13"/>
      <c r="Q767" s="13"/>
      <c r="R767" s="13"/>
      <c r="S767" s="13"/>
      <c r="T767" s="13"/>
      <c r="U767" s="13"/>
      <c r="V767" s="13"/>
      <c r="W767" s="13"/>
    </row>
    <row r="768" ht="15.75" customHeight="1" spans="1:23">
      <c r="A768" s="13"/>
      <c r="B768" s="13"/>
      <c r="C768" s="13"/>
      <c r="D768" s="13"/>
      <c r="E768" s="13"/>
      <c r="F768" s="13"/>
      <c r="G768" s="13"/>
      <c r="H768" s="13"/>
      <c r="I768" s="13"/>
      <c r="J768" s="13"/>
      <c r="K768" s="13"/>
      <c r="L768" s="13"/>
      <c r="M768" s="13"/>
      <c r="N768" s="13"/>
      <c r="O768" s="13"/>
      <c r="P768" s="13"/>
      <c r="Q768" s="13"/>
      <c r="R768" s="13"/>
      <c r="S768" s="13"/>
      <c r="T768" s="13"/>
      <c r="U768" s="13"/>
      <c r="V768" s="13"/>
      <c r="W768" s="13"/>
    </row>
    <row r="769" ht="15.75" customHeight="1" spans="1:23">
      <c r="A769" s="13"/>
      <c r="B769" s="13"/>
      <c r="C769" s="13"/>
      <c r="D769" s="13"/>
      <c r="E769" s="13"/>
      <c r="F769" s="13"/>
      <c r="G769" s="13"/>
      <c r="H769" s="13"/>
      <c r="I769" s="13"/>
      <c r="J769" s="13"/>
      <c r="K769" s="13"/>
      <c r="L769" s="13"/>
      <c r="M769" s="13"/>
      <c r="N769" s="13"/>
      <c r="O769" s="13"/>
      <c r="P769" s="13"/>
      <c r="Q769" s="13"/>
      <c r="R769" s="13"/>
      <c r="S769" s="13"/>
      <c r="T769" s="13"/>
      <c r="U769" s="13"/>
      <c r="V769" s="13"/>
      <c r="W769" s="13"/>
    </row>
    <row r="770" ht="15.75" customHeight="1" spans="1:23">
      <c r="A770" s="13"/>
      <c r="B770" s="13"/>
      <c r="C770" s="13"/>
      <c r="D770" s="13"/>
      <c r="E770" s="13"/>
      <c r="F770" s="13"/>
      <c r="G770" s="13"/>
      <c r="H770" s="13"/>
      <c r="I770" s="13"/>
      <c r="J770" s="13"/>
      <c r="K770" s="13"/>
      <c r="L770" s="13"/>
      <c r="M770" s="13"/>
      <c r="N770" s="13"/>
      <c r="O770" s="13"/>
      <c r="P770" s="13"/>
      <c r="Q770" s="13"/>
      <c r="R770" s="13"/>
      <c r="S770" s="13"/>
      <c r="T770" s="13"/>
      <c r="U770" s="13"/>
      <c r="V770" s="13"/>
      <c r="W770" s="13"/>
    </row>
    <row r="771" ht="15.75" customHeight="1" spans="1:23">
      <c r="A771" s="13"/>
      <c r="B771" s="13"/>
      <c r="C771" s="13"/>
      <c r="D771" s="13"/>
      <c r="E771" s="13"/>
      <c r="F771" s="13"/>
      <c r="G771" s="13"/>
      <c r="H771" s="13"/>
      <c r="I771" s="13"/>
      <c r="J771" s="13"/>
      <c r="K771" s="13"/>
      <c r="L771" s="13"/>
      <c r="M771" s="13"/>
      <c r="N771" s="13"/>
      <c r="O771" s="13"/>
      <c r="P771" s="13"/>
      <c r="Q771" s="13"/>
      <c r="R771" s="13"/>
      <c r="S771" s="13"/>
      <c r="T771" s="13"/>
      <c r="U771" s="13"/>
      <c r="V771" s="13"/>
      <c r="W771" s="13"/>
    </row>
    <row r="772" ht="15.75" customHeight="1" spans="1:23">
      <c r="A772" s="13"/>
      <c r="B772" s="13"/>
      <c r="C772" s="13"/>
      <c r="D772" s="13"/>
      <c r="E772" s="13"/>
      <c r="F772" s="13"/>
      <c r="G772" s="13"/>
      <c r="H772" s="13"/>
      <c r="I772" s="13"/>
      <c r="J772" s="13"/>
      <c r="K772" s="13"/>
      <c r="L772" s="13"/>
      <c r="M772" s="13"/>
      <c r="N772" s="13"/>
      <c r="O772" s="13"/>
      <c r="P772" s="13"/>
      <c r="Q772" s="13"/>
      <c r="R772" s="13"/>
      <c r="S772" s="13"/>
      <c r="T772" s="13"/>
      <c r="U772" s="13"/>
      <c r="V772" s="13"/>
      <c r="W772" s="13"/>
    </row>
    <row r="773" ht="15.75" customHeight="1" spans="1:23">
      <c r="A773" s="13"/>
      <c r="B773" s="13"/>
      <c r="C773" s="13"/>
      <c r="D773" s="13"/>
      <c r="E773" s="13"/>
      <c r="F773" s="13"/>
      <c r="G773" s="13"/>
      <c r="H773" s="13"/>
      <c r="I773" s="13"/>
      <c r="J773" s="13"/>
      <c r="K773" s="13"/>
      <c r="L773" s="13"/>
      <c r="M773" s="13"/>
      <c r="N773" s="13"/>
      <c r="O773" s="13"/>
      <c r="P773" s="13"/>
      <c r="Q773" s="13"/>
      <c r="R773" s="13"/>
      <c r="S773" s="13"/>
      <c r="T773" s="13"/>
      <c r="U773" s="13"/>
      <c r="V773" s="13"/>
      <c r="W773" s="13"/>
    </row>
    <row r="774" ht="15.75" customHeight="1" spans="1:23">
      <c r="A774" s="13"/>
      <c r="B774" s="13"/>
      <c r="C774" s="13"/>
      <c r="D774" s="13"/>
      <c r="E774" s="13"/>
      <c r="F774" s="13"/>
      <c r="G774" s="13"/>
      <c r="H774" s="13"/>
      <c r="I774" s="13"/>
      <c r="J774" s="13"/>
      <c r="K774" s="13"/>
      <c r="L774" s="13"/>
      <c r="M774" s="13"/>
      <c r="N774" s="13"/>
      <c r="O774" s="13"/>
      <c r="P774" s="13"/>
      <c r="Q774" s="13"/>
      <c r="R774" s="13"/>
      <c r="S774" s="13"/>
      <c r="T774" s="13"/>
      <c r="U774" s="13"/>
      <c r="V774" s="13"/>
      <c r="W774" s="13"/>
    </row>
    <row r="775" ht="15.75" customHeight="1" spans="1:23">
      <c r="A775" s="13"/>
      <c r="B775" s="13"/>
      <c r="C775" s="13"/>
      <c r="D775" s="13"/>
      <c r="E775" s="13"/>
      <c r="F775" s="13"/>
      <c r="G775" s="13"/>
      <c r="H775" s="13"/>
      <c r="I775" s="13"/>
      <c r="J775" s="13"/>
      <c r="K775" s="13"/>
      <c r="L775" s="13"/>
      <c r="M775" s="13"/>
      <c r="N775" s="13"/>
      <c r="O775" s="13"/>
      <c r="P775" s="13"/>
      <c r="Q775" s="13"/>
      <c r="R775" s="13"/>
      <c r="S775" s="13"/>
      <c r="T775" s="13"/>
      <c r="U775" s="13"/>
      <c r="V775" s="13"/>
      <c r="W775" s="13"/>
    </row>
    <row r="776" ht="15.75" customHeight="1" spans="1:23">
      <c r="A776" s="13"/>
      <c r="B776" s="13"/>
      <c r="C776" s="13"/>
      <c r="D776" s="13"/>
      <c r="E776" s="13"/>
      <c r="F776" s="13"/>
      <c r="G776" s="13"/>
      <c r="H776" s="13"/>
      <c r="I776" s="13"/>
      <c r="J776" s="13"/>
      <c r="K776" s="13"/>
      <c r="L776" s="13"/>
      <c r="M776" s="13"/>
      <c r="N776" s="13"/>
      <c r="O776" s="13"/>
      <c r="P776" s="13"/>
      <c r="Q776" s="13"/>
      <c r="R776" s="13"/>
      <c r="S776" s="13"/>
      <c r="T776" s="13"/>
      <c r="U776" s="13"/>
      <c r="V776" s="13"/>
      <c r="W776" s="13"/>
    </row>
    <row r="777" ht="15.75" customHeight="1" spans="1:23">
      <c r="A777" s="13"/>
      <c r="B777" s="13"/>
      <c r="C777" s="13"/>
      <c r="D777" s="13"/>
      <c r="E777" s="13"/>
      <c r="F777" s="13"/>
      <c r="G777" s="13"/>
      <c r="H777" s="13"/>
      <c r="I777" s="13"/>
      <c r="J777" s="13"/>
      <c r="K777" s="13"/>
      <c r="L777" s="13"/>
      <c r="M777" s="13"/>
      <c r="N777" s="13"/>
      <c r="O777" s="13"/>
      <c r="P777" s="13"/>
      <c r="Q777" s="13"/>
      <c r="R777" s="13"/>
      <c r="S777" s="13"/>
      <c r="T777" s="13"/>
      <c r="U777" s="13"/>
      <c r="V777" s="13"/>
      <c r="W777" s="13"/>
    </row>
    <row r="778" ht="15.75" customHeight="1" spans="1:23">
      <c r="A778" s="13"/>
      <c r="B778" s="13"/>
      <c r="C778" s="13"/>
      <c r="D778" s="13"/>
      <c r="E778" s="13"/>
      <c r="F778" s="13"/>
      <c r="G778" s="13"/>
      <c r="H778" s="13"/>
      <c r="I778" s="13"/>
      <c r="J778" s="13"/>
      <c r="K778" s="13"/>
      <c r="L778" s="13"/>
      <c r="M778" s="13"/>
      <c r="N778" s="13"/>
      <c r="O778" s="13"/>
      <c r="P778" s="13"/>
      <c r="Q778" s="13"/>
      <c r="R778" s="13"/>
      <c r="S778" s="13"/>
      <c r="T778" s="13"/>
      <c r="U778" s="13"/>
      <c r="V778" s="13"/>
      <c r="W778" s="13"/>
    </row>
    <row r="779" ht="15.75" customHeight="1" spans="1:23">
      <c r="A779" s="13"/>
      <c r="B779" s="13"/>
      <c r="C779" s="13"/>
      <c r="D779" s="13"/>
      <c r="E779" s="13"/>
      <c r="F779" s="13"/>
      <c r="G779" s="13"/>
      <c r="H779" s="13"/>
      <c r="I779" s="13"/>
      <c r="J779" s="13"/>
      <c r="K779" s="13"/>
      <c r="L779" s="13"/>
      <c r="M779" s="13"/>
      <c r="N779" s="13"/>
      <c r="O779" s="13"/>
      <c r="P779" s="13"/>
      <c r="Q779" s="13"/>
      <c r="R779" s="13"/>
      <c r="S779" s="13"/>
      <c r="T779" s="13"/>
      <c r="U779" s="13"/>
      <c r="V779" s="13"/>
      <c r="W779" s="13"/>
    </row>
    <row r="780" ht="15.75" customHeight="1" spans="1:23">
      <c r="A780" s="13"/>
      <c r="B780" s="13"/>
      <c r="C780" s="13"/>
      <c r="D780" s="13"/>
      <c r="E780" s="13"/>
      <c r="F780" s="13"/>
      <c r="G780" s="13"/>
      <c r="H780" s="13"/>
      <c r="I780" s="13"/>
      <c r="J780" s="13"/>
      <c r="K780" s="13"/>
      <c r="L780" s="13"/>
      <c r="M780" s="13"/>
      <c r="N780" s="13"/>
      <c r="O780" s="13"/>
      <c r="P780" s="13"/>
      <c r="Q780" s="13"/>
      <c r="R780" s="13"/>
      <c r="S780" s="13"/>
      <c r="T780" s="13"/>
      <c r="U780" s="13"/>
      <c r="V780" s="13"/>
      <c r="W780" s="13"/>
    </row>
    <row r="781" ht="15.75" customHeight="1" spans="1:23">
      <c r="A781" s="13"/>
      <c r="B781" s="13"/>
      <c r="C781" s="13"/>
      <c r="D781" s="13"/>
      <c r="E781" s="13"/>
      <c r="F781" s="13"/>
      <c r="G781" s="13"/>
      <c r="H781" s="13"/>
      <c r="I781" s="13"/>
      <c r="J781" s="13"/>
      <c r="K781" s="13"/>
      <c r="L781" s="13"/>
      <c r="M781" s="13"/>
      <c r="N781" s="13"/>
      <c r="O781" s="13"/>
      <c r="P781" s="13"/>
      <c r="Q781" s="13"/>
      <c r="R781" s="13"/>
      <c r="S781" s="13"/>
      <c r="T781" s="13"/>
      <c r="U781" s="13"/>
      <c r="V781" s="13"/>
      <c r="W781" s="13"/>
    </row>
    <row r="782" ht="15.75" customHeight="1" spans="1:23">
      <c r="A782" s="13"/>
      <c r="B782" s="13"/>
      <c r="C782" s="13"/>
      <c r="D782" s="13"/>
      <c r="E782" s="13"/>
      <c r="F782" s="13"/>
      <c r="G782" s="13"/>
      <c r="H782" s="13"/>
      <c r="I782" s="13"/>
      <c r="J782" s="13"/>
      <c r="K782" s="13"/>
      <c r="L782" s="13"/>
      <c r="M782" s="13"/>
      <c r="N782" s="13"/>
      <c r="O782" s="13"/>
      <c r="P782" s="13"/>
      <c r="Q782" s="13"/>
      <c r="R782" s="13"/>
      <c r="S782" s="13"/>
      <c r="T782" s="13"/>
      <c r="U782" s="13"/>
      <c r="V782" s="13"/>
      <c r="W782" s="13"/>
    </row>
    <row r="783" ht="15.75" customHeight="1" spans="1:23">
      <c r="A783" s="13"/>
      <c r="B783" s="13"/>
      <c r="C783" s="13"/>
      <c r="D783" s="13"/>
      <c r="E783" s="13"/>
      <c r="F783" s="13"/>
      <c r="G783" s="13"/>
      <c r="H783" s="13"/>
      <c r="I783" s="13"/>
      <c r="J783" s="13"/>
      <c r="K783" s="13"/>
      <c r="L783" s="13"/>
      <c r="M783" s="13"/>
      <c r="N783" s="13"/>
      <c r="O783" s="13"/>
      <c r="P783" s="13"/>
      <c r="Q783" s="13"/>
      <c r="R783" s="13"/>
      <c r="S783" s="13"/>
      <c r="T783" s="13"/>
      <c r="U783" s="13"/>
      <c r="V783" s="13"/>
      <c r="W783" s="13"/>
    </row>
    <row r="784" ht="15.75" customHeight="1" spans="1:23">
      <c r="A784" s="13"/>
      <c r="B784" s="13"/>
      <c r="C784" s="13"/>
      <c r="D784" s="13"/>
      <c r="E784" s="13"/>
      <c r="F784" s="13"/>
      <c r="G784" s="13"/>
      <c r="H784" s="13"/>
      <c r="I784" s="13"/>
      <c r="J784" s="13"/>
      <c r="K784" s="13"/>
      <c r="L784" s="13"/>
      <c r="M784" s="13"/>
      <c r="N784" s="13"/>
      <c r="O784" s="13"/>
      <c r="P784" s="13"/>
      <c r="Q784" s="13"/>
      <c r="R784" s="13"/>
      <c r="S784" s="13"/>
      <c r="T784" s="13"/>
      <c r="U784" s="13"/>
      <c r="V784" s="13"/>
      <c r="W784" s="13"/>
    </row>
    <row r="785" ht="15.75" customHeight="1" spans="1:23">
      <c r="A785" s="13"/>
      <c r="B785" s="13"/>
      <c r="C785" s="13"/>
      <c r="D785" s="13"/>
      <c r="E785" s="13"/>
      <c r="F785" s="13"/>
      <c r="G785" s="13"/>
      <c r="H785" s="13"/>
      <c r="I785" s="13"/>
      <c r="J785" s="13"/>
      <c r="K785" s="13"/>
      <c r="L785" s="13"/>
      <c r="M785" s="13"/>
      <c r="N785" s="13"/>
      <c r="O785" s="13"/>
      <c r="P785" s="13"/>
      <c r="Q785" s="13"/>
      <c r="R785" s="13"/>
      <c r="S785" s="13"/>
      <c r="T785" s="13"/>
      <c r="U785" s="13"/>
      <c r="V785" s="13"/>
      <c r="W785" s="13"/>
    </row>
    <row r="786" ht="15.75" customHeight="1" spans="1:23">
      <c r="A786" s="13"/>
      <c r="B786" s="13"/>
      <c r="C786" s="13"/>
      <c r="D786" s="13"/>
      <c r="E786" s="13"/>
      <c r="F786" s="13"/>
      <c r="G786" s="13"/>
      <c r="H786" s="13"/>
      <c r="I786" s="13"/>
      <c r="J786" s="13"/>
      <c r="K786" s="13"/>
      <c r="L786" s="13"/>
      <c r="M786" s="13"/>
      <c r="N786" s="13"/>
      <c r="O786" s="13"/>
      <c r="P786" s="13"/>
      <c r="Q786" s="13"/>
      <c r="R786" s="13"/>
      <c r="S786" s="13"/>
      <c r="T786" s="13"/>
      <c r="U786" s="13"/>
      <c r="V786" s="13"/>
      <c r="W786" s="13"/>
    </row>
    <row r="787" ht="15.75" customHeight="1" spans="1:23">
      <c r="A787" s="13"/>
      <c r="B787" s="13"/>
      <c r="C787" s="13"/>
      <c r="D787" s="13"/>
      <c r="E787" s="13"/>
      <c r="F787" s="13"/>
      <c r="G787" s="13"/>
      <c r="H787" s="13"/>
      <c r="I787" s="13"/>
      <c r="J787" s="13"/>
      <c r="K787" s="13"/>
      <c r="L787" s="13"/>
      <c r="M787" s="13"/>
      <c r="N787" s="13"/>
      <c r="O787" s="13"/>
      <c r="P787" s="13"/>
      <c r="Q787" s="13"/>
      <c r="R787" s="13"/>
      <c r="S787" s="13"/>
      <c r="T787" s="13"/>
      <c r="U787" s="13"/>
      <c r="V787" s="13"/>
      <c r="W787" s="13"/>
    </row>
    <row r="788" ht="15.75" customHeight="1" spans="1:23">
      <c r="A788" s="13"/>
      <c r="B788" s="13"/>
      <c r="C788" s="13"/>
      <c r="D788" s="13"/>
      <c r="E788" s="13"/>
      <c r="F788" s="13"/>
      <c r="G788" s="13"/>
      <c r="H788" s="13"/>
      <c r="I788" s="13"/>
      <c r="J788" s="13"/>
      <c r="K788" s="13"/>
      <c r="L788" s="13"/>
      <c r="M788" s="13"/>
      <c r="N788" s="13"/>
      <c r="O788" s="13"/>
      <c r="P788" s="13"/>
      <c r="Q788" s="13"/>
      <c r="R788" s="13"/>
      <c r="S788" s="13"/>
      <c r="T788" s="13"/>
      <c r="U788" s="13"/>
      <c r="V788" s="13"/>
      <c r="W788" s="13"/>
    </row>
    <row r="789" ht="15.75" customHeight="1" spans="1:23">
      <c r="A789" s="13"/>
      <c r="B789" s="13"/>
      <c r="C789" s="13"/>
      <c r="D789" s="13"/>
      <c r="E789" s="13"/>
      <c r="F789" s="13"/>
      <c r="G789" s="13"/>
      <c r="H789" s="13"/>
      <c r="I789" s="13"/>
      <c r="J789" s="13"/>
      <c r="K789" s="13"/>
      <c r="L789" s="13"/>
      <c r="M789" s="13"/>
      <c r="N789" s="13"/>
      <c r="O789" s="13"/>
      <c r="P789" s="13"/>
      <c r="Q789" s="13"/>
      <c r="R789" s="13"/>
      <c r="S789" s="13"/>
      <c r="T789" s="13"/>
      <c r="U789" s="13"/>
      <c r="V789" s="13"/>
      <c r="W789" s="13"/>
    </row>
    <row r="790" ht="15.75" customHeight="1" spans="1:23">
      <c r="A790" s="13"/>
      <c r="B790" s="13"/>
      <c r="C790" s="13"/>
      <c r="D790" s="13"/>
      <c r="E790" s="13"/>
      <c r="F790" s="13"/>
      <c r="G790" s="13"/>
      <c r="H790" s="13"/>
      <c r="I790" s="13"/>
      <c r="J790" s="13"/>
      <c r="K790" s="13"/>
      <c r="L790" s="13"/>
      <c r="M790" s="13"/>
      <c r="N790" s="13"/>
      <c r="O790" s="13"/>
      <c r="P790" s="13"/>
      <c r="Q790" s="13"/>
      <c r="R790" s="13"/>
      <c r="S790" s="13"/>
      <c r="T790" s="13"/>
      <c r="U790" s="13"/>
      <c r="V790" s="13"/>
      <c r="W790" s="13"/>
    </row>
    <row r="791" ht="15.75" customHeight="1" spans="1:23">
      <c r="A791" s="13"/>
      <c r="B791" s="13"/>
      <c r="C791" s="13"/>
      <c r="D791" s="13"/>
      <c r="E791" s="13"/>
      <c r="F791" s="13"/>
      <c r="G791" s="13"/>
      <c r="H791" s="13"/>
      <c r="I791" s="13"/>
      <c r="J791" s="13"/>
      <c r="K791" s="13"/>
      <c r="L791" s="13"/>
      <c r="M791" s="13"/>
      <c r="N791" s="13"/>
      <c r="O791" s="13"/>
      <c r="P791" s="13"/>
      <c r="Q791" s="13"/>
      <c r="R791" s="13"/>
      <c r="S791" s="13"/>
      <c r="T791" s="13"/>
      <c r="U791" s="13"/>
      <c r="V791" s="13"/>
      <c r="W791" s="13"/>
    </row>
    <row r="792" ht="15.75" customHeight="1" spans="1:23">
      <c r="A792" s="13"/>
      <c r="B792" s="13"/>
      <c r="C792" s="13"/>
      <c r="D792" s="13"/>
      <c r="E792" s="13"/>
      <c r="F792" s="13"/>
      <c r="G792" s="13"/>
      <c r="H792" s="13"/>
      <c r="I792" s="13"/>
      <c r="J792" s="13"/>
      <c r="K792" s="13"/>
      <c r="L792" s="13"/>
      <c r="M792" s="13"/>
      <c r="N792" s="13"/>
      <c r="O792" s="13"/>
      <c r="P792" s="13"/>
      <c r="Q792" s="13"/>
      <c r="R792" s="13"/>
      <c r="S792" s="13"/>
      <c r="T792" s="13"/>
      <c r="U792" s="13"/>
      <c r="V792" s="13"/>
      <c r="W792" s="13"/>
    </row>
    <row r="793" ht="15.75" customHeight="1" spans="1:23">
      <c r="A793" s="13"/>
      <c r="B793" s="13"/>
      <c r="C793" s="13"/>
      <c r="D793" s="13"/>
      <c r="E793" s="13"/>
      <c r="F793" s="13"/>
      <c r="G793" s="13"/>
      <c r="H793" s="13"/>
      <c r="I793" s="13"/>
      <c r="J793" s="13"/>
      <c r="K793" s="13"/>
      <c r="L793" s="13"/>
      <c r="M793" s="13"/>
      <c r="N793" s="13"/>
      <c r="O793" s="13"/>
      <c r="P793" s="13"/>
      <c r="Q793" s="13"/>
      <c r="R793" s="13"/>
      <c r="S793" s="13"/>
      <c r="T793" s="13"/>
      <c r="U793" s="13"/>
      <c r="V793" s="13"/>
      <c r="W793" s="13"/>
    </row>
    <row r="794" ht="15.75" customHeight="1" spans="1:23">
      <c r="A794" s="13"/>
      <c r="B794" s="13"/>
      <c r="C794" s="13"/>
      <c r="D794" s="13"/>
      <c r="E794" s="13"/>
      <c r="F794" s="13"/>
      <c r="G794" s="13"/>
      <c r="H794" s="13"/>
      <c r="I794" s="13"/>
      <c r="J794" s="13"/>
      <c r="K794" s="13"/>
      <c r="L794" s="13"/>
      <c r="M794" s="13"/>
      <c r="N794" s="13"/>
      <c r="O794" s="13"/>
      <c r="P794" s="13"/>
      <c r="Q794" s="13"/>
      <c r="R794" s="13"/>
      <c r="S794" s="13"/>
      <c r="T794" s="13"/>
      <c r="U794" s="13"/>
      <c r="V794" s="13"/>
      <c r="W794" s="13"/>
    </row>
    <row r="795" ht="15.75" customHeight="1" spans="1:23">
      <c r="A795" s="13"/>
      <c r="B795" s="13"/>
      <c r="C795" s="13"/>
      <c r="D795" s="13"/>
      <c r="E795" s="13"/>
      <c r="F795" s="13"/>
      <c r="G795" s="13"/>
      <c r="H795" s="13"/>
      <c r="I795" s="13"/>
      <c r="J795" s="13"/>
      <c r="K795" s="13"/>
      <c r="L795" s="13"/>
      <c r="M795" s="13"/>
      <c r="N795" s="13"/>
      <c r="O795" s="13"/>
      <c r="P795" s="13"/>
      <c r="Q795" s="13"/>
      <c r="R795" s="13"/>
      <c r="S795" s="13"/>
      <c r="T795" s="13"/>
      <c r="U795" s="13"/>
      <c r="V795" s="13"/>
      <c r="W795" s="13"/>
    </row>
    <row r="796" ht="15.75" customHeight="1" spans="1:23">
      <c r="A796" s="13"/>
      <c r="B796" s="13"/>
      <c r="C796" s="13"/>
      <c r="D796" s="13"/>
      <c r="E796" s="13"/>
      <c r="F796" s="13"/>
      <c r="G796" s="13"/>
      <c r="H796" s="13"/>
      <c r="I796" s="13"/>
      <c r="J796" s="13"/>
      <c r="K796" s="13"/>
      <c r="L796" s="13"/>
      <c r="M796" s="13"/>
      <c r="N796" s="13"/>
      <c r="O796" s="13"/>
      <c r="P796" s="13"/>
      <c r="Q796" s="13"/>
      <c r="R796" s="13"/>
      <c r="S796" s="13"/>
      <c r="T796" s="13"/>
      <c r="U796" s="13"/>
      <c r="V796" s="13"/>
      <c r="W796" s="13"/>
    </row>
    <row r="797" ht="15.75" customHeight="1" spans="1:23">
      <c r="A797" s="13"/>
      <c r="B797" s="13"/>
      <c r="C797" s="13"/>
      <c r="D797" s="13"/>
      <c r="E797" s="13"/>
      <c r="F797" s="13"/>
      <c r="G797" s="13"/>
      <c r="H797" s="13"/>
      <c r="I797" s="13"/>
      <c r="J797" s="13"/>
      <c r="K797" s="13"/>
      <c r="L797" s="13"/>
      <c r="M797" s="13"/>
      <c r="N797" s="13"/>
      <c r="O797" s="13"/>
      <c r="P797" s="13"/>
      <c r="Q797" s="13"/>
      <c r="R797" s="13"/>
      <c r="S797" s="13"/>
      <c r="T797" s="13"/>
      <c r="U797" s="13"/>
      <c r="V797" s="13"/>
      <c r="W797" s="13"/>
    </row>
    <row r="798" ht="15.75" customHeight="1" spans="1:23">
      <c r="A798" s="13"/>
      <c r="B798" s="13"/>
      <c r="C798" s="13"/>
      <c r="D798" s="13"/>
      <c r="E798" s="13"/>
      <c r="F798" s="13"/>
      <c r="G798" s="13"/>
      <c r="H798" s="13"/>
      <c r="I798" s="13"/>
      <c r="J798" s="13"/>
      <c r="K798" s="13"/>
      <c r="L798" s="13"/>
      <c r="M798" s="13"/>
      <c r="N798" s="13"/>
      <c r="O798" s="13"/>
      <c r="P798" s="13"/>
      <c r="Q798" s="13"/>
      <c r="R798" s="13"/>
      <c r="S798" s="13"/>
      <c r="T798" s="13"/>
      <c r="U798" s="13"/>
      <c r="V798" s="13"/>
      <c r="W798" s="13"/>
    </row>
    <row r="799" ht="15.75" customHeight="1" spans="1:23">
      <c r="A799" s="13"/>
      <c r="B799" s="13"/>
      <c r="C799" s="13"/>
      <c r="D799" s="13"/>
      <c r="E799" s="13"/>
      <c r="F799" s="13"/>
      <c r="G799" s="13"/>
      <c r="H799" s="13"/>
      <c r="I799" s="13"/>
      <c r="J799" s="13"/>
      <c r="K799" s="13"/>
      <c r="L799" s="13"/>
      <c r="M799" s="13"/>
      <c r="N799" s="13"/>
      <c r="O799" s="13"/>
      <c r="P799" s="13"/>
      <c r="Q799" s="13"/>
      <c r="R799" s="13"/>
      <c r="S799" s="13"/>
      <c r="T799" s="13"/>
      <c r="U799" s="13"/>
      <c r="V799" s="13"/>
      <c r="W799" s="13"/>
    </row>
    <row r="800" ht="15.75" customHeight="1" spans="1:23">
      <c r="A800" s="13"/>
      <c r="B800" s="13"/>
      <c r="C800" s="13"/>
      <c r="D800" s="13"/>
      <c r="E800" s="13"/>
      <c r="F800" s="13"/>
      <c r="G800" s="13"/>
      <c r="H800" s="13"/>
      <c r="I800" s="13"/>
      <c r="J800" s="13"/>
      <c r="K800" s="13"/>
      <c r="L800" s="13"/>
      <c r="M800" s="13"/>
      <c r="N800" s="13"/>
      <c r="O800" s="13"/>
      <c r="P800" s="13"/>
      <c r="Q800" s="13"/>
      <c r="R800" s="13"/>
      <c r="S800" s="13"/>
      <c r="T800" s="13"/>
      <c r="U800" s="13"/>
      <c r="V800" s="13"/>
      <c r="W800" s="13"/>
    </row>
    <row r="801" ht="15.75" customHeight="1" spans="1:23">
      <c r="A801" s="13"/>
      <c r="B801" s="13"/>
      <c r="C801" s="13"/>
      <c r="D801" s="13"/>
      <c r="E801" s="13"/>
      <c r="F801" s="13"/>
      <c r="G801" s="13"/>
      <c r="H801" s="13"/>
      <c r="I801" s="13"/>
      <c r="J801" s="13"/>
      <c r="K801" s="13"/>
      <c r="L801" s="13"/>
      <c r="M801" s="13"/>
      <c r="N801" s="13"/>
      <c r="O801" s="13"/>
      <c r="P801" s="13"/>
      <c r="Q801" s="13"/>
      <c r="R801" s="13"/>
      <c r="S801" s="13"/>
      <c r="T801" s="13"/>
      <c r="U801" s="13"/>
      <c r="V801" s="13"/>
      <c r="W801" s="13"/>
    </row>
    <row r="802" ht="15.75" customHeight="1" spans="1:23">
      <c r="A802" s="13"/>
      <c r="B802" s="13"/>
      <c r="C802" s="13"/>
      <c r="D802" s="13"/>
      <c r="E802" s="13"/>
      <c r="F802" s="13"/>
      <c r="G802" s="13"/>
      <c r="H802" s="13"/>
      <c r="I802" s="13"/>
      <c r="J802" s="13"/>
      <c r="K802" s="13"/>
      <c r="L802" s="13"/>
      <c r="M802" s="13"/>
      <c r="N802" s="13"/>
      <c r="O802" s="13"/>
      <c r="P802" s="13"/>
      <c r="Q802" s="13"/>
      <c r="R802" s="13"/>
      <c r="S802" s="13"/>
      <c r="T802" s="13"/>
      <c r="U802" s="13"/>
      <c r="V802" s="13"/>
      <c r="W802" s="13"/>
    </row>
    <row r="803" ht="15.75" customHeight="1" spans="1:23">
      <c r="A803" s="13"/>
      <c r="B803" s="13"/>
      <c r="C803" s="13"/>
      <c r="D803" s="13"/>
      <c r="E803" s="13"/>
      <c r="F803" s="13"/>
      <c r="G803" s="13"/>
      <c r="H803" s="13"/>
      <c r="I803" s="13"/>
      <c r="J803" s="13"/>
      <c r="K803" s="13"/>
      <c r="L803" s="13"/>
      <c r="M803" s="13"/>
      <c r="N803" s="13"/>
      <c r="O803" s="13"/>
      <c r="P803" s="13"/>
      <c r="Q803" s="13"/>
      <c r="R803" s="13"/>
      <c r="S803" s="13"/>
      <c r="T803" s="13"/>
      <c r="U803" s="13"/>
      <c r="V803" s="13"/>
      <c r="W803" s="13"/>
    </row>
    <row r="804" ht="15.75" customHeight="1" spans="1:23">
      <c r="A804" s="13"/>
      <c r="B804" s="13"/>
      <c r="C804" s="13"/>
      <c r="D804" s="13"/>
      <c r="E804" s="13"/>
      <c r="F804" s="13"/>
      <c r="G804" s="13"/>
      <c r="H804" s="13"/>
      <c r="I804" s="13"/>
      <c r="J804" s="13"/>
      <c r="K804" s="13"/>
      <c r="L804" s="13"/>
      <c r="M804" s="13"/>
      <c r="N804" s="13"/>
      <c r="O804" s="13"/>
      <c r="P804" s="13"/>
      <c r="Q804" s="13"/>
      <c r="R804" s="13"/>
      <c r="S804" s="13"/>
      <c r="T804" s="13"/>
      <c r="U804" s="13"/>
      <c r="V804" s="13"/>
      <c r="W804" s="13"/>
    </row>
    <row r="805" ht="15.75" customHeight="1" spans="1:23">
      <c r="A805" s="13"/>
      <c r="B805" s="13"/>
      <c r="C805" s="13"/>
      <c r="D805" s="13"/>
      <c r="E805" s="13"/>
      <c r="F805" s="13"/>
      <c r="G805" s="13"/>
      <c r="H805" s="13"/>
      <c r="I805" s="13"/>
      <c r="J805" s="13"/>
      <c r="K805" s="13"/>
      <c r="L805" s="13"/>
      <c r="M805" s="13"/>
      <c r="N805" s="13"/>
      <c r="O805" s="13"/>
      <c r="P805" s="13"/>
      <c r="Q805" s="13"/>
      <c r="R805" s="13"/>
      <c r="S805" s="13"/>
      <c r="T805" s="13"/>
      <c r="U805" s="13"/>
      <c r="V805" s="13"/>
      <c r="W805" s="13"/>
    </row>
    <row r="806" ht="15.75" customHeight="1" spans="1:23">
      <c r="A806" s="13"/>
      <c r="B806" s="13"/>
      <c r="C806" s="13"/>
      <c r="D806" s="13"/>
      <c r="E806" s="13"/>
      <c r="F806" s="13"/>
      <c r="G806" s="13"/>
      <c r="H806" s="13"/>
      <c r="I806" s="13"/>
      <c r="J806" s="13"/>
      <c r="K806" s="13"/>
      <c r="L806" s="13"/>
      <c r="M806" s="13"/>
      <c r="N806" s="13"/>
      <c r="O806" s="13"/>
      <c r="P806" s="13"/>
      <c r="Q806" s="13"/>
      <c r="R806" s="13"/>
      <c r="S806" s="13"/>
      <c r="T806" s="13"/>
      <c r="U806" s="13"/>
      <c r="V806" s="13"/>
      <c r="W806" s="13"/>
    </row>
    <row r="807" ht="15.75" customHeight="1" spans="1:23">
      <c r="A807" s="13"/>
      <c r="B807" s="13"/>
      <c r="C807" s="13"/>
      <c r="D807" s="13"/>
      <c r="E807" s="13"/>
      <c r="F807" s="13"/>
      <c r="G807" s="13"/>
      <c r="H807" s="13"/>
      <c r="I807" s="13"/>
      <c r="J807" s="13"/>
      <c r="K807" s="13"/>
      <c r="L807" s="13"/>
      <c r="M807" s="13"/>
      <c r="N807" s="13"/>
      <c r="O807" s="13"/>
      <c r="P807" s="13"/>
      <c r="Q807" s="13"/>
      <c r="R807" s="13"/>
      <c r="S807" s="13"/>
      <c r="T807" s="13"/>
      <c r="U807" s="13"/>
      <c r="V807" s="13"/>
      <c r="W807" s="13"/>
    </row>
    <row r="808" ht="15.75" customHeight="1" spans="1:23">
      <c r="A808" s="13"/>
      <c r="B808" s="13"/>
      <c r="C808" s="13"/>
      <c r="D808" s="13"/>
      <c r="E808" s="13"/>
      <c r="F808" s="13"/>
      <c r="G808" s="13"/>
      <c r="H808" s="13"/>
      <c r="I808" s="13"/>
      <c r="J808" s="13"/>
      <c r="K808" s="13"/>
      <c r="L808" s="13"/>
      <c r="M808" s="13"/>
      <c r="N808" s="13"/>
      <c r="O808" s="13"/>
      <c r="P808" s="13"/>
      <c r="Q808" s="13"/>
      <c r="R808" s="13"/>
      <c r="S808" s="13"/>
      <c r="T808" s="13"/>
      <c r="U808" s="13"/>
      <c r="V808" s="13"/>
      <c r="W808" s="13"/>
    </row>
    <row r="809" ht="15.75" customHeight="1" spans="1:23">
      <c r="A809" s="13"/>
      <c r="B809" s="13"/>
      <c r="C809" s="13"/>
      <c r="D809" s="13"/>
      <c r="E809" s="13"/>
      <c r="F809" s="13"/>
      <c r="G809" s="13"/>
      <c r="H809" s="13"/>
      <c r="I809" s="13"/>
      <c r="J809" s="13"/>
      <c r="K809" s="13"/>
      <c r="L809" s="13"/>
      <c r="M809" s="13"/>
      <c r="N809" s="13"/>
      <c r="O809" s="13"/>
      <c r="P809" s="13"/>
      <c r="Q809" s="13"/>
      <c r="R809" s="13"/>
      <c r="S809" s="13"/>
      <c r="T809" s="13"/>
      <c r="U809" s="13"/>
      <c r="V809" s="13"/>
      <c r="W809" s="13"/>
    </row>
    <row r="810" ht="15.75" customHeight="1" spans="1:23">
      <c r="A810" s="13"/>
      <c r="B810" s="13"/>
      <c r="C810" s="13"/>
      <c r="D810" s="13"/>
      <c r="E810" s="13"/>
      <c r="F810" s="13"/>
      <c r="G810" s="13"/>
      <c r="H810" s="13"/>
      <c r="I810" s="13"/>
      <c r="J810" s="13"/>
      <c r="K810" s="13"/>
      <c r="L810" s="13"/>
      <c r="M810" s="13"/>
      <c r="N810" s="13"/>
      <c r="O810" s="13"/>
      <c r="P810" s="13"/>
      <c r="Q810" s="13"/>
      <c r="R810" s="13"/>
      <c r="S810" s="13"/>
      <c r="T810" s="13"/>
      <c r="U810" s="13"/>
      <c r="V810" s="13"/>
      <c r="W810" s="13"/>
    </row>
    <row r="811" ht="15.75" customHeight="1" spans="1:23">
      <c r="A811" s="13"/>
      <c r="B811" s="13"/>
      <c r="C811" s="13"/>
      <c r="D811" s="13"/>
      <c r="E811" s="13"/>
      <c r="F811" s="13"/>
      <c r="G811" s="13"/>
      <c r="H811" s="13"/>
      <c r="I811" s="13"/>
      <c r="J811" s="13"/>
      <c r="K811" s="13"/>
      <c r="L811" s="13"/>
      <c r="M811" s="13"/>
      <c r="N811" s="13"/>
      <c r="O811" s="13"/>
      <c r="P811" s="13"/>
      <c r="Q811" s="13"/>
      <c r="R811" s="13"/>
      <c r="S811" s="13"/>
      <c r="T811" s="13"/>
      <c r="U811" s="13"/>
      <c r="V811" s="13"/>
      <c r="W811" s="13"/>
    </row>
    <row r="812" ht="15.75" customHeight="1" spans="1:23">
      <c r="A812" s="13"/>
      <c r="B812" s="13"/>
      <c r="C812" s="13"/>
      <c r="D812" s="13"/>
      <c r="E812" s="13"/>
      <c r="F812" s="13"/>
      <c r="G812" s="13"/>
      <c r="H812" s="13"/>
      <c r="I812" s="13"/>
      <c r="J812" s="13"/>
      <c r="K812" s="13"/>
      <c r="L812" s="13"/>
      <c r="M812" s="13"/>
      <c r="N812" s="13"/>
      <c r="O812" s="13"/>
      <c r="P812" s="13"/>
      <c r="Q812" s="13"/>
      <c r="R812" s="13"/>
      <c r="S812" s="13"/>
      <c r="T812" s="13"/>
      <c r="U812" s="13"/>
      <c r="V812" s="13"/>
      <c r="W812" s="13"/>
    </row>
    <row r="813" ht="15.75" customHeight="1" spans="1:23">
      <c r="A813" s="13"/>
      <c r="B813" s="13"/>
      <c r="C813" s="13"/>
      <c r="D813" s="13"/>
      <c r="E813" s="13"/>
      <c r="F813" s="13"/>
      <c r="G813" s="13"/>
      <c r="H813" s="13"/>
      <c r="I813" s="13"/>
      <c r="J813" s="13"/>
      <c r="K813" s="13"/>
      <c r="L813" s="13"/>
      <c r="M813" s="13"/>
      <c r="N813" s="13"/>
      <c r="O813" s="13"/>
      <c r="P813" s="13"/>
      <c r="Q813" s="13"/>
      <c r="R813" s="13"/>
      <c r="S813" s="13"/>
      <c r="T813" s="13"/>
      <c r="U813" s="13"/>
      <c r="V813" s="13"/>
      <c r="W813" s="13"/>
    </row>
    <row r="814" ht="15.75" customHeight="1" spans="1:23">
      <c r="A814" s="13"/>
      <c r="B814" s="13"/>
      <c r="C814" s="13"/>
      <c r="D814" s="13"/>
      <c r="E814" s="13"/>
      <c r="F814" s="13"/>
      <c r="G814" s="13"/>
      <c r="H814" s="13"/>
      <c r="I814" s="13"/>
      <c r="J814" s="13"/>
      <c r="K814" s="13"/>
      <c r="L814" s="13"/>
      <c r="M814" s="13"/>
      <c r="N814" s="13"/>
      <c r="O814" s="13"/>
      <c r="P814" s="13"/>
      <c r="Q814" s="13"/>
      <c r="R814" s="13"/>
      <c r="S814" s="13"/>
      <c r="T814" s="13"/>
      <c r="U814" s="13"/>
      <c r="V814" s="13"/>
      <c r="W814" s="13"/>
    </row>
    <row r="815" ht="15.75" customHeight="1" spans="1:23">
      <c r="A815" s="13"/>
      <c r="B815" s="13"/>
      <c r="C815" s="13"/>
      <c r="D815" s="13"/>
      <c r="E815" s="13"/>
      <c r="F815" s="13"/>
      <c r="G815" s="13"/>
      <c r="H815" s="13"/>
      <c r="I815" s="13"/>
      <c r="J815" s="13"/>
      <c r="K815" s="13"/>
      <c r="L815" s="13"/>
      <c r="M815" s="13"/>
      <c r="N815" s="13"/>
      <c r="O815" s="13"/>
      <c r="P815" s="13"/>
      <c r="Q815" s="13"/>
      <c r="R815" s="13"/>
      <c r="S815" s="13"/>
      <c r="T815" s="13"/>
      <c r="U815" s="13"/>
      <c r="V815" s="13"/>
      <c r="W815" s="13"/>
    </row>
    <row r="816" ht="15.75" customHeight="1" spans="1:23">
      <c r="A816" s="13"/>
      <c r="B816" s="13"/>
      <c r="C816" s="13"/>
      <c r="D816" s="13"/>
      <c r="E816" s="13"/>
      <c r="F816" s="13"/>
      <c r="G816" s="13"/>
      <c r="H816" s="13"/>
      <c r="I816" s="13"/>
      <c r="J816" s="13"/>
      <c r="K816" s="13"/>
      <c r="L816" s="13"/>
      <c r="M816" s="13"/>
      <c r="N816" s="13"/>
      <c r="O816" s="13"/>
      <c r="P816" s="13"/>
      <c r="Q816" s="13"/>
      <c r="R816" s="13"/>
      <c r="S816" s="13"/>
      <c r="T816" s="13"/>
      <c r="U816" s="13"/>
      <c r="V816" s="13"/>
      <c r="W816" s="13"/>
    </row>
    <row r="817" ht="15.75" customHeight="1" spans="1:23">
      <c r="A817" s="13"/>
      <c r="B817" s="13"/>
      <c r="C817" s="13"/>
      <c r="D817" s="13"/>
      <c r="E817" s="13"/>
      <c r="F817" s="13"/>
      <c r="G817" s="13"/>
      <c r="H817" s="13"/>
      <c r="I817" s="13"/>
      <c r="J817" s="13"/>
      <c r="K817" s="13"/>
      <c r="L817" s="13"/>
      <c r="M817" s="13"/>
      <c r="N817" s="13"/>
      <c r="O817" s="13"/>
      <c r="P817" s="13"/>
      <c r="Q817" s="13"/>
      <c r="R817" s="13"/>
      <c r="S817" s="13"/>
      <c r="T817" s="13"/>
      <c r="U817" s="13"/>
      <c r="V817" s="13"/>
      <c r="W817" s="13"/>
    </row>
    <row r="818" ht="15.75" customHeight="1" spans="1:23">
      <c r="A818" s="13"/>
      <c r="B818" s="13"/>
      <c r="C818" s="13"/>
      <c r="D818" s="13"/>
      <c r="E818" s="13"/>
      <c r="F818" s="13"/>
      <c r="G818" s="13"/>
      <c r="H818" s="13"/>
      <c r="I818" s="13"/>
      <c r="J818" s="13"/>
      <c r="K818" s="13"/>
      <c r="L818" s="13"/>
      <c r="M818" s="13"/>
      <c r="N818" s="13"/>
      <c r="O818" s="13"/>
      <c r="P818" s="13"/>
      <c r="Q818" s="13"/>
      <c r="R818" s="13"/>
      <c r="S818" s="13"/>
      <c r="T818" s="13"/>
      <c r="U818" s="13"/>
      <c r="V818" s="13"/>
      <c r="W818" s="13"/>
    </row>
    <row r="819" ht="15.75" customHeight="1" spans="1:23">
      <c r="A819" s="13"/>
      <c r="B819" s="13"/>
      <c r="C819" s="13"/>
      <c r="D819" s="13"/>
      <c r="E819" s="13"/>
      <c r="F819" s="13"/>
      <c r="G819" s="13"/>
      <c r="H819" s="13"/>
      <c r="I819" s="13"/>
      <c r="J819" s="13"/>
      <c r="K819" s="13"/>
      <c r="L819" s="13"/>
      <c r="M819" s="13"/>
      <c r="N819" s="13"/>
      <c r="O819" s="13"/>
      <c r="P819" s="13"/>
      <c r="Q819" s="13"/>
      <c r="R819" s="13"/>
      <c r="S819" s="13"/>
      <c r="T819" s="13"/>
      <c r="U819" s="13"/>
      <c r="V819" s="13"/>
      <c r="W819" s="13"/>
    </row>
    <row r="820" ht="15.75" customHeight="1" spans="1:23">
      <c r="A820" s="13"/>
      <c r="B820" s="13"/>
      <c r="C820" s="13"/>
      <c r="D820" s="13"/>
      <c r="E820" s="13"/>
      <c r="F820" s="13"/>
      <c r="G820" s="13"/>
      <c r="H820" s="13"/>
      <c r="I820" s="13"/>
      <c r="J820" s="13"/>
      <c r="K820" s="13"/>
      <c r="L820" s="13"/>
      <c r="M820" s="13"/>
      <c r="N820" s="13"/>
      <c r="O820" s="13"/>
      <c r="P820" s="13"/>
      <c r="Q820" s="13"/>
      <c r="R820" s="13"/>
      <c r="S820" s="13"/>
      <c r="T820" s="13"/>
      <c r="U820" s="13"/>
      <c r="V820" s="13"/>
      <c r="W820" s="13"/>
    </row>
    <row r="821" ht="15.75" customHeight="1" spans="1:23">
      <c r="A821" s="13"/>
      <c r="B821" s="13"/>
      <c r="C821" s="13"/>
      <c r="D821" s="13"/>
      <c r="E821" s="13"/>
      <c r="F821" s="13"/>
      <c r="G821" s="13"/>
      <c r="H821" s="13"/>
      <c r="I821" s="13"/>
      <c r="J821" s="13"/>
      <c r="K821" s="13"/>
      <c r="L821" s="13"/>
      <c r="M821" s="13"/>
      <c r="N821" s="13"/>
      <c r="O821" s="13"/>
      <c r="P821" s="13"/>
      <c r="Q821" s="13"/>
      <c r="R821" s="13"/>
      <c r="S821" s="13"/>
      <c r="T821" s="13"/>
      <c r="U821" s="13"/>
      <c r="V821" s="13"/>
      <c r="W821" s="13"/>
    </row>
    <row r="822" ht="15.75" customHeight="1" spans="1:23">
      <c r="A822" s="13"/>
      <c r="B822" s="13"/>
      <c r="C822" s="13"/>
      <c r="D822" s="13"/>
      <c r="E822" s="13"/>
      <c r="F822" s="13"/>
      <c r="G822" s="13"/>
      <c r="H822" s="13"/>
      <c r="I822" s="13"/>
      <c r="J822" s="13"/>
      <c r="K822" s="13"/>
      <c r="L822" s="13"/>
      <c r="M822" s="13"/>
      <c r="N822" s="13"/>
      <c r="O822" s="13"/>
      <c r="P822" s="13"/>
      <c r="Q822" s="13"/>
      <c r="R822" s="13"/>
      <c r="S822" s="13"/>
      <c r="T822" s="13"/>
      <c r="U822" s="13"/>
      <c r="V822" s="13"/>
      <c r="W822" s="13"/>
    </row>
    <row r="823" ht="15.75" customHeight="1" spans="1:23">
      <c r="A823" s="13"/>
      <c r="B823" s="13"/>
      <c r="C823" s="13"/>
      <c r="D823" s="13"/>
      <c r="E823" s="13"/>
      <c r="F823" s="13"/>
      <c r="G823" s="13"/>
      <c r="H823" s="13"/>
      <c r="I823" s="13"/>
      <c r="J823" s="13"/>
      <c r="K823" s="13"/>
      <c r="L823" s="13"/>
      <c r="M823" s="13"/>
      <c r="N823" s="13"/>
      <c r="O823" s="13"/>
      <c r="P823" s="13"/>
      <c r="Q823" s="13"/>
      <c r="R823" s="13"/>
      <c r="S823" s="13"/>
      <c r="T823" s="13"/>
      <c r="U823" s="13"/>
      <c r="V823" s="13"/>
      <c r="W823" s="13"/>
    </row>
    <row r="824" ht="15.75" customHeight="1" spans="1:23">
      <c r="A824" s="13"/>
      <c r="B824" s="13"/>
      <c r="C824" s="13"/>
      <c r="D824" s="13"/>
      <c r="E824" s="13"/>
      <c r="F824" s="13"/>
      <c r="G824" s="13"/>
      <c r="H824" s="13"/>
      <c r="I824" s="13"/>
      <c r="J824" s="13"/>
      <c r="K824" s="13"/>
      <c r="L824" s="13"/>
      <c r="M824" s="13"/>
      <c r="N824" s="13"/>
      <c r="O824" s="13"/>
      <c r="P824" s="13"/>
      <c r="Q824" s="13"/>
      <c r="R824" s="13"/>
      <c r="S824" s="13"/>
      <c r="T824" s="13"/>
      <c r="U824" s="13"/>
      <c r="V824" s="13"/>
      <c r="W824" s="13"/>
    </row>
    <row r="825" ht="15.75" customHeight="1" spans="1:23">
      <c r="A825" s="13"/>
      <c r="B825" s="13"/>
      <c r="C825" s="13"/>
      <c r="D825" s="13"/>
      <c r="E825" s="13"/>
      <c r="F825" s="13"/>
      <c r="G825" s="13"/>
      <c r="H825" s="13"/>
      <c r="I825" s="13"/>
      <c r="J825" s="13"/>
      <c r="K825" s="13"/>
      <c r="L825" s="13"/>
      <c r="M825" s="13"/>
      <c r="N825" s="13"/>
      <c r="O825" s="13"/>
      <c r="P825" s="13"/>
      <c r="Q825" s="13"/>
      <c r="R825" s="13"/>
      <c r="S825" s="13"/>
      <c r="T825" s="13"/>
      <c r="U825" s="13"/>
      <c r="V825" s="13"/>
      <c r="W825" s="13"/>
    </row>
    <row r="826" ht="15.75" customHeight="1" spans="1:23">
      <c r="A826" s="13"/>
      <c r="B826" s="13"/>
      <c r="C826" s="13"/>
      <c r="D826" s="13"/>
      <c r="E826" s="13"/>
      <c r="F826" s="13"/>
      <c r="G826" s="13"/>
      <c r="H826" s="13"/>
      <c r="I826" s="13"/>
      <c r="J826" s="13"/>
      <c r="K826" s="13"/>
      <c r="L826" s="13"/>
      <c r="M826" s="13"/>
      <c r="N826" s="13"/>
      <c r="O826" s="13"/>
      <c r="P826" s="13"/>
      <c r="Q826" s="13"/>
      <c r="R826" s="13"/>
      <c r="S826" s="13"/>
      <c r="T826" s="13"/>
      <c r="U826" s="13"/>
      <c r="V826" s="13"/>
      <c r="W826" s="13"/>
    </row>
    <row r="827" ht="15.75" customHeight="1" spans="1:23">
      <c r="A827" s="13"/>
      <c r="B827" s="13"/>
      <c r="C827" s="13"/>
      <c r="D827" s="13"/>
      <c r="E827" s="13"/>
      <c r="F827" s="13"/>
      <c r="G827" s="13"/>
      <c r="H827" s="13"/>
      <c r="I827" s="13"/>
      <c r="J827" s="13"/>
      <c r="K827" s="13"/>
      <c r="L827" s="13"/>
      <c r="M827" s="13"/>
      <c r="N827" s="13"/>
      <c r="O827" s="13"/>
      <c r="P827" s="13"/>
      <c r="Q827" s="13"/>
      <c r="R827" s="13"/>
      <c r="S827" s="13"/>
      <c r="T827" s="13"/>
      <c r="U827" s="13"/>
      <c r="V827" s="13"/>
      <c r="W827" s="13"/>
    </row>
    <row r="828" ht="15.75" customHeight="1" spans="1:23">
      <c r="A828" s="13"/>
      <c r="B828" s="13"/>
      <c r="C828" s="13"/>
      <c r="D828" s="13"/>
      <c r="E828" s="13"/>
      <c r="F828" s="13"/>
      <c r="G828" s="13"/>
      <c r="H828" s="13"/>
      <c r="I828" s="13"/>
      <c r="J828" s="13"/>
      <c r="K828" s="13"/>
      <c r="L828" s="13"/>
      <c r="M828" s="13"/>
      <c r="N828" s="13"/>
      <c r="O828" s="13"/>
      <c r="P828" s="13"/>
      <c r="Q828" s="13"/>
      <c r="R828" s="13"/>
      <c r="S828" s="13"/>
      <c r="T828" s="13"/>
      <c r="U828" s="13"/>
      <c r="V828" s="13"/>
      <c r="W828" s="13"/>
    </row>
    <row r="829" ht="15.75" customHeight="1" spans="1:23">
      <c r="A829" s="13"/>
      <c r="B829" s="13"/>
      <c r="C829" s="13"/>
      <c r="D829" s="13"/>
      <c r="E829" s="13"/>
      <c r="F829" s="13"/>
      <c r="G829" s="13"/>
      <c r="H829" s="13"/>
      <c r="I829" s="13"/>
      <c r="J829" s="13"/>
      <c r="K829" s="13"/>
      <c r="L829" s="13"/>
      <c r="M829" s="13"/>
      <c r="N829" s="13"/>
      <c r="O829" s="13"/>
      <c r="P829" s="13"/>
      <c r="Q829" s="13"/>
      <c r="R829" s="13"/>
      <c r="S829" s="13"/>
      <c r="T829" s="13"/>
      <c r="U829" s="13"/>
      <c r="V829" s="13"/>
      <c r="W829" s="13"/>
    </row>
    <row r="830" ht="15.75" customHeight="1" spans="1:23">
      <c r="A830" s="13"/>
      <c r="B830" s="13"/>
      <c r="C830" s="13"/>
      <c r="D830" s="13"/>
      <c r="E830" s="13"/>
      <c r="F830" s="13"/>
      <c r="G830" s="13"/>
      <c r="H830" s="13"/>
      <c r="I830" s="13"/>
      <c r="J830" s="13"/>
      <c r="K830" s="13"/>
      <c r="L830" s="13"/>
      <c r="M830" s="13"/>
      <c r="N830" s="13"/>
      <c r="O830" s="13"/>
      <c r="P830" s="13"/>
      <c r="Q830" s="13"/>
      <c r="R830" s="13"/>
      <c r="S830" s="13"/>
      <c r="T830" s="13"/>
      <c r="U830" s="13"/>
      <c r="V830" s="13"/>
      <c r="W830" s="13"/>
    </row>
    <row r="831" ht="15.75" customHeight="1" spans="1:23">
      <c r="A831" s="13"/>
      <c r="B831" s="13"/>
      <c r="C831" s="13"/>
      <c r="D831" s="13"/>
      <c r="E831" s="13"/>
      <c r="F831" s="13"/>
      <c r="G831" s="13"/>
      <c r="H831" s="13"/>
      <c r="I831" s="13"/>
      <c r="J831" s="13"/>
      <c r="K831" s="13"/>
      <c r="L831" s="13"/>
      <c r="M831" s="13"/>
      <c r="N831" s="13"/>
      <c r="O831" s="13"/>
      <c r="P831" s="13"/>
      <c r="Q831" s="13"/>
      <c r="R831" s="13"/>
      <c r="S831" s="13"/>
      <c r="T831" s="13"/>
      <c r="U831" s="13"/>
      <c r="V831" s="13"/>
      <c r="W831" s="13"/>
    </row>
    <row r="832" ht="15.75" customHeight="1" spans="1:23">
      <c r="A832" s="13"/>
      <c r="B832" s="13"/>
      <c r="C832" s="13"/>
      <c r="D832" s="13"/>
      <c r="E832" s="13"/>
      <c r="F832" s="13"/>
      <c r="G832" s="13"/>
      <c r="H832" s="13"/>
      <c r="I832" s="13"/>
      <c r="J832" s="13"/>
      <c r="K832" s="13"/>
      <c r="L832" s="13"/>
      <c r="M832" s="13"/>
      <c r="N832" s="13"/>
      <c r="O832" s="13"/>
      <c r="P832" s="13"/>
      <c r="Q832" s="13"/>
      <c r="R832" s="13"/>
      <c r="S832" s="13"/>
      <c r="T832" s="13"/>
      <c r="U832" s="13"/>
      <c r="V832" s="13"/>
      <c r="W832" s="13"/>
    </row>
    <row r="833" ht="15.75" customHeight="1" spans="1:23">
      <c r="A833" s="13"/>
      <c r="B833" s="13"/>
      <c r="C833" s="13"/>
      <c r="D833" s="13"/>
      <c r="E833" s="13"/>
      <c r="F833" s="13"/>
      <c r="G833" s="13"/>
      <c r="H833" s="13"/>
      <c r="I833" s="13"/>
      <c r="J833" s="13"/>
      <c r="K833" s="13"/>
      <c r="L833" s="13"/>
      <c r="M833" s="13"/>
      <c r="N833" s="13"/>
      <c r="O833" s="13"/>
      <c r="P833" s="13"/>
      <c r="Q833" s="13"/>
      <c r="R833" s="13"/>
      <c r="S833" s="13"/>
      <c r="T833" s="13"/>
      <c r="U833" s="13"/>
      <c r="V833" s="13"/>
      <c r="W833" s="13"/>
    </row>
    <row r="834" ht="15.75" customHeight="1" spans="1:23">
      <c r="A834" s="13"/>
      <c r="B834" s="13"/>
      <c r="C834" s="13"/>
      <c r="D834" s="13"/>
      <c r="E834" s="13"/>
      <c r="F834" s="13"/>
      <c r="G834" s="13"/>
      <c r="H834" s="13"/>
      <c r="I834" s="13"/>
      <c r="J834" s="13"/>
      <c r="K834" s="13"/>
      <c r="L834" s="13"/>
      <c r="M834" s="13"/>
      <c r="N834" s="13"/>
      <c r="O834" s="13"/>
      <c r="P834" s="13"/>
      <c r="Q834" s="13"/>
      <c r="R834" s="13"/>
      <c r="S834" s="13"/>
      <c r="T834" s="13"/>
      <c r="U834" s="13"/>
      <c r="V834" s="13"/>
      <c r="W834" s="13"/>
    </row>
    <row r="835" ht="15.75" customHeight="1" spans="1:23">
      <c r="A835" s="13"/>
      <c r="B835" s="13"/>
      <c r="C835" s="13"/>
      <c r="D835" s="13"/>
      <c r="E835" s="13"/>
      <c r="F835" s="13"/>
      <c r="G835" s="13"/>
      <c r="H835" s="13"/>
      <c r="I835" s="13"/>
      <c r="J835" s="13"/>
      <c r="K835" s="13"/>
      <c r="L835" s="13"/>
      <c r="M835" s="13"/>
      <c r="N835" s="13"/>
      <c r="O835" s="13"/>
      <c r="P835" s="13"/>
      <c r="Q835" s="13"/>
      <c r="R835" s="13"/>
      <c r="S835" s="13"/>
      <c r="T835" s="13"/>
      <c r="U835" s="13"/>
      <c r="V835" s="13"/>
      <c r="W835" s="13"/>
    </row>
    <row r="836" ht="15.75" customHeight="1" spans="1:23">
      <c r="A836" s="13"/>
      <c r="B836" s="13"/>
      <c r="C836" s="13"/>
      <c r="D836" s="13"/>
      <c r="E836" s="13"/>
      <c r="F836" s="13"/>
      <c r="G836" s="13"/>
      <c r="H836" s="13"/>
      <c r="I836" s="13"/>
      <c r="J836" s="13"/>
      <c r="K836" s="13"/>
      <c r="L836" s="13"/>
      <c r="M836" s="13"/>
      <c r="N836" s="13"/>
      <c r="O836" s="13"/>
      <c r="P836" s="13"/>
      <c r="Q836" s="13"/>
      <c r="R836" s="13"/>
      <c r="S836" s="13"/>
      <c r="T836" s="13"/>
      <c r="U836" s="13"/>
      <c r="V836" s="13"/>
      <c r="W836" s="13"/>
    </row>
    <row r="837" ht="15.75" customHeight="1" spans="1:23">
      <c r="A837" s="13"/>
      <c r="B837" s="13"/>
      <c r="C837" s="13"/>
      <c r="D837" s="13"/>
      <c r="E837" s="13"/>
      <c r="F837" s="13"/>
      <c r="G837" s="13"/>
      <c r="H837" s="13"/>
      <c r="I837" s="13"/>
      <c r="J837" s="13"/>
      <c r="K837" s="13"/>
      <c r="L837" s="13"/>
      <c r="M837" s="13"/>
      <c r="N837" s="13"/>
      <c r="O837" s="13"/>
      <c r="P837" s="13"/>
      <c r="Q837" s="13"/>
      <c r="R837" s="13"/>
      <c r="S837" s="13"/>
      <c r="T837" s="13"/>
      <c r="U837" s="13"/>
      <c r="V837" s="13"/>
      <c r="W837" s="13"/>
    </row>
    <row r="838" ht="15.75" customHeight="1" spans="1:23">
      <c r="A838" s="13"/>
      <c r="B838" s="13"/>
      <c r="C838" s="13"/>
      <c r="D838" s="13"/>
      <c r="E838" s="13"/>
      <c r="F838" s="13"/>
      <c r="G838" s="13"/>
      <c r="H838" s="13"/>
      <c r="I838" s="13"/>
      <c r="J838" s="13"/>
      <c r="K838" s="13"/>
      <c r="L838" s="13"/>
      <c r="M838" s="13"/>
      <c r="N838" s="13"/>
      <c r="O838" s="13"/>
      <c r="P838" s="13"/>
      <c r="Q838" s="13"/>
      <c r="R838" s="13"/>
      <c r="S838" s="13"/>
      <c r="T838" s="13"/>
      <c r="U838" s="13"/>
      <c r="V838" s="13"/>
      <c r="W838" s="13"/>
    </row>
    <row r="839" ht="15.75" customHeight="1" spans="1:23">
      <c r="A839" s="13"/>
      <c r="B839" s="13"/>
      <c r="C839" s="13"/>
      <c r="D839" s="13"/>
      <c r="E839" s="13"/>
      <c r="F839" s="13"/>
      <c r="G839" s="13"/>
      <c r="H839" s="13"/>
      <c r="I839" s="13"/>
      <c r="J839" s="13"/>
      <c r="K839" s="13"/>
      <c r="L839" s="13"/>
      <c r="M839" s="13"/>
      <c r="N839" s="13"/>
      <c r="O839" s="13"/>
      <c r="P839" s="13"/>
      <c r="Q839" s="13"/>
      <c r="R839" s="13"/>
      <c r="S839" s="13"/>
      <c r="T839" s="13"/>
      <c r="U839" s="13"/>
      <c r="V839" s="13"/>
      <c r="W839" s="13"/>
    </row>
    <row r="840" ht="15.75" customHeight="1" spans="1:23">
      <c r="A840" s="13"/>
      <c r="B840" s="13"/>
      <c r="C840" s="13"/>
      <c r="D840" s="13"/>
      <c r="E840" s="13"/>
      <c r="F840" s="13"/>
      <c r="G840" s="13"/>
      <c r="H840" s="13"/>
      <c r="I840" s="13"/>
      <c r="J840" s="13"/>
      <c r="K840" s="13"/>
      <c r="L840" s="13"/>
      <c r="M840" s="13"/>
      <c r="N840" s="13"/>
      <c r="O840" s="13"/>
      <c r="P840" s="13"/>
      <c r="Q840" s="13"/>
      <c r="R840" s="13"/>
      <c r="S840" s="13"/>
      <c r="T840" s="13"/>
      <c r="U840" s="13"/>
      <c r="V840" s="13"/>
      <c r="W840" s="13"/>
    </row>
    <row r="841" ht="15.75" customHeight="1" spans="1:23">
      <c r="A841" s="13"/>
      <c r="B841" s="13"/>
      <c r="C841" s="13"/>
      <c r="D841" s="13"/>
      <c r="E841" s="13"/>
      <c r="F841" s="13"/>
      <c r="G841" s="13"/>
      <c r="H841" s="13"/>
      <c r="I841" s="13"/>
      <c r="J841" s="13"/>
      <c r="K841" s="13"/>
      <c r="L841" s="13"/>
      <c r="M841" s="13"/>
      <c r="N841" s="13"/>
      <c r="O841" s="13"/>
      <c r="P841" s="13"/>
      <c r="Q841" s="13"/>
      <c r="R841" s="13"/>
      <c r="S841" s="13"/>
      <c r="T841" s="13"/>
      <c r="U841" s="13"/>
      <c r="V841" s="13"/>
      <c r="W841" s="13"/>
    </row>
    <row r="842" ht="15.75" customHeight="1" spans="1:23">
      <c r="A842" s="13"/>
      <c r="B842" s="13"/>
      <c r="C842" s="13"/>
      <c r="D842" s="13"/>
      <c r="E842" s="13"/>
      <c r="F842" s="13"/>
      <c r="G842" s="13"/>
      <c r="H842" s="13"/>
      <c r="I842" s="13"/>
      <c r="J842" s="13"/>
      <c r="K842" s="13"/>
      <c r="L842" s="13"/>
      <c r="M842" s="13"/>
      <c r="N842" s="13"/>
      <c r="O842" s="13"/>
      <c r="P842" s="13"/>
      <c r="Q842" s="13"/>
      <c r="R842" s="13"/>
      <c r="S842" s="13"/>
      <c r="T842" s="13"/>
      <c r="U842" s="13"/>
      <c r="V842" s="13"/>
      <c r="W842" s="13"/>
    </row>
    <row r="843" ht="15.75" customHeight="1" spans="1:23">
      <c r="A843" s="13"/>
      <c r="B843" s="13"/>
      <c r="C843" s="13"/>
      <c r="D843" s="13"/>
      <c r="E843" s="13"/>
      <c r="F843" s="13"/>
      <c r="G843" s="13"/>
      <c r="H843" s="13"/>
      <c r="I843" s="13"/>
      <c r="J843" s="13"/>
      <c r="K843" s="13"/>
      <c r="L843" s="13"/>
      <c r="M843" s="13"/>
      <c r="N843" s="13"/>
      <c r="O843" s="13"/>
      <c r="P843" s="13"/>
      <c r="Q843" s="13"/>
      <c r="R843" s="13"/>
      <c r="S843" s="13"/>
      <c r="T843" s="13"/>
      <c r="U843" s="13"/>
      <c r="V843" s="13"/>
      <c r="W843" s="13"/>
    </row>
    <row r="844" ht="15.75" customHeight="1" spans="1:23">
      <c r="A844" s="13"/>
      <c r="B844" s="13"/>
      <c r="C844" s="13"/>
      <c r="D844" s="13"/>
      <c r="E844" s="13"/>
      <c r="F844" s="13"/>
      <c r="G844" s="13"/>
      <c r="H844" s="13"/>
      <c r="I844" s="13"/>
      <c r="J844" s="13"/>
      <c r="K844" s="13"/>
      <c r="L844" s="13"/>
      <c r="M844" s="13"/>
      <c r="N844" s="13"/>
      <c r="O844" s="13"/>
      <c r="P844" s="13"/>
      <c r="Q844" s="13"/>
      <c r="R844" s="13"/>
      <c r="S844" s="13"/>
      <c r="T844" s="13"/>
      <c r="U844" s="13"/>
      <c r="V844" s="13"/>
      <c r="W844" s="13"/>
    </row>
    <row r="845" ht="15.75" customHeight="1" spans="1:23">
      <c r="A845" s="13"/>
      <c r="B845" s="13"/>
      <c r="C845" s="13"/>
      <c r="D845" s="13"/>
      <c r="E845" s="13"/>
      <c r="F845" s="13"/>
      <c r="G845" s="13"/>
      <c r="H845" s="13"/>
      <c r="I845" s="13"/>
      <c r="J845" s="13"/>
      <c r="K845" s="13"/>
      <c r="L845" s="13"/>
      <c r="M845" s="13"/>
      <c r="N845" s="13"/>
      <c r="O845" s="13"/>
      <c r="P845" s="13"/>
      <c r="Q845" s="13"/>
      <c r="R845" s="13"/>
      <c r="S845" s="13"/>
      <c r="T845" s="13"/>
      <c r="U845" s="13"/>
      <c r="V845" s="13"/>
      <c r="W845" s="13"/>
    </row>
    <row r="846" ht="15.75" customHeight="1" spans="1:23">
      <c r="A846" s="13"/>
      <c r="B846" s="13"/>
      <c r="C846" s="13"/>
      <c r="D846" s="13"/>
      <c r="E846" s="13"/>
      <c r="F846" s="13"/>
      <c r="G846" s="13"/>
      <c r="H846" s="13"/>
      <c r="I846" s="13"/>
      <c r="J846" s="13"/>
      <c r="K846" s="13"/>
      <c r="L846" s="13"/>
      <c r="M846" s="13"/>
      <c r="N846" s="13"/>
      <c r="O846" s="13"/>
      <c r="P846" s="13"/>
      <c r="Q846" s="13"/>
      <c r="R846" s="13"/>
      <c r="S846" s="13"/>
      <c r="T846" s="13"/>
      <c r="U846" s="13"/>
      <c r="V846" s="13"/>
      <c r="W846" s="13"/>
    </row>
    <row r="847" ht="15.75" customHeight="1" spans="1:23">
      <c r="A847" s="13"/>
      <c r="B847" s="13"/>
      <c r="C847" s="13"/>
      <c r="D847" s="13"/>
      <c r="E847" s="13"/>
      <c r="F847" s="13"/>
      <c r="G847" s="13"/>
      <c r="H847" s="13"/>
      <c r="I847" s="13"/>
      <c r="J847" s="13"/>
      <c r="K847" s="13"/>
      <c r="L847" s="13"/>
      <c r="M847" s="13"/>
      <c r="N847" s="13"/>
      <c r="O847" s="13"/>
      <c r="P847" s="13"/>
      <c r="Q847" s="13"/>
      <c r="R847" s="13"/>
      <c r="S847" s="13"/>
      <c r="T847" s="13"/>
      <c r="U847" s="13"/>
      <c r="V847" s="13"/>
      <c r="W847" s="13"/>
    </row>
    <row r="848" ht="15.75" customHeight="1" spans="1:23">
      <c r="A848" s="13"/>
      <c r="B848" s="13"/>
      <c r="C848" s="13"/>
      <c r="D848" s="13"/>
      <c r="E848" s="13"/>
      <c r="F848" s="13"/>
      <c r="G848" s="13"/>
      <c r="H848" s="13"/>
      <c r="I848" s="13"/>
      <c r="J848" s="13"/>
      <c r="K848" s="13"/>
      <c r="L848" s="13"/>
      <c r="M848" s="13"/>
      <c r="N848" s="13"/>
      <c r="O848" s="13"/>
      <c r="P848" s="13"/>
      <c r="Q848" s="13"/>
      <c r="R848" s="13"/>
      <c r="S848" s="13"/>
      <c r="T848" s="13"/>
      <c r="U848" s="13"/>
      <c r="V848" s="13"/>
      <c r="W848" s="13"/>
    </row>
    <row r="849" ht="15.75" customHeight="1" spans="1:23">
      <c r="A849" s="13"/>
      <c r="B849" s="13"/>
      <c r="C849" s="13"/>
      <c r="D849" s="13"/>
      <c r="E849" s="13"/>
      <c r="F849" s="13"/>
      <c r="G849" s="13"/>
      <c r="H849" s="13"/>
      <c r="I849" s="13"/>
      <c r="J849" s="13"/>
      <c r="K849" s="13"/>
      <c r="L849" s="13"/>
      <c r="M849" s="13"/>
      <c r="N849" s="13"/>
      <c r="O849" s="13"/>
      <c r="P849" s="13"/>
      <c r="Q849" s="13"/>
      <c r="R849" s="13"/>
      <c r="S849" s="13"/>
      <c r="T849" s="13"/>
      <c r="U849" s="13"/>
      <c r="V849" s="13"/>
      <c r="W849" s="13"/>
    </row>
    <row r="850" ht="15.75" customHeight="1" spans="1:23">
      <c r="A850" s="13"/>
      <c r="B850" s="13"/>
      <c r="C850" s="13"/>
      <c r="D850" s="13"/>
      <c r="E850" s="13"/>
      <c r="F850" s="13"/>
      <c r="G850" s="13"/>
      <c r="H850" s="13"/>
      <c r="I850" s="13"/>
      <c r="J850" s="13"/>
      <c r="K850" s="13"/>
      <c r="L850" s="13"/>
      <c r="M850" s="13"/>
      <c r="N850" s="13"/>
      <c r="O850" s="13"/>
      <c r="P850" s="13"/>
      <c r="Q850" s="13"/>
      <c r="R850" s="13"/>
      <c r="S850" s="13"/>
      <c r="T850" s="13"/>
      <c r="U850" s="13"/>
      <c r="V850" s="13"/>
      <c r="W850" s="13"/>
    </row>
    <row r="851" ht="15.75" customHeight="1" spans="1:23">
      <c r="A851" s="13"/>
      <c r="B851" s="13"/>
      <c r="C851" s="13"/>
      <c r="D851" s="13"/>
      <c r="E851" s="13"/>
      <c r="F851" s="13"/>
      <c r="G851" s="13"/>
      <c r="H851" s="13"/>
      <c r="I851" s="13"/>
      <c r="J851" s="13"/>
      <c r="K851" s="13"/>
      <c r="L851" s="13"/>
      <c r="M851" s="13"/>
      <c r="N851" s="13"/>
      <c r="O851" s="13"/>
      <c r="P851" s="13"/>
      <c r="Q851" s="13"/>
      <c r="R851" s="13"/>
      <c r="S851" s="13"/>
      <c r="T851" s="13"/>
      <c r="U851" s="13"/>
      <c r="V851" s="13"/>
      <c r="W851" s="13"/>
    </row>
    <row r="852" ht="15.75" customHeight="1" spans="1:23">
      <c r="A852" s="13"/>
      <c r="B852" s="13"/>
      <c r="C852" s="13"/>
      <c r="D852" s="13"/>
      <c r="E852" s="13"/>
      <c r="F852" s="13"/>
      <c r="G852" s="13"/>
      <c r="H852" s="13"/>
      <c r="I852" s="13"/>
      <c r="J852" s="13"/>
      <c r="K852" s="13"/>
      <c r="L852" s="13"/>
      <c r="M852" s="13"/>
      <c r="N852" s="13"/>
      <c r="O852" s="13"/>
      <c r="P852" s="13"/>
      <c r="Q852" s="13"/>
      <c r="R852" s="13"/>
      <c r="S852" s="13"/>
      <c r="T852" s="13"/>
      <c r="U852" s="13"/>
      <c r="V852" s="13"/>
      <c r="W852" s="13"/>
    </row>
    <row r="853" ht="15.75" customHeight="1" spans="1:23">
      <c r="A853" s="13"/>
      <c r="B853" s="13"/>
      <c r="C853" s="13"/>
      <c r="D853" s="13"/>
      <c r="E853" s="13"/>
      <c r="F853" s="13"/>
      <c r="G853" s="13"/>
      <c r="H853" s="13"/>
      <c r="I853" s="13"/>
      <c r="J853" s="13"/>
      <c r="K853" s="13"/>
      <c r="L853" s="13"/>
      <c r="M853" s="13"/>
      <c r="N853" s="13"/>
      <c r="O853" s="13"/>
      <c r="P853" s="13"/>
      <c r="Q853" s="13"/>
      <c r="R853" s="13"/>
      <c r="S853" s="13"/>
      <c r="T853" s="13"/>
      <c r="U853" s="13"/>
      <c r="V853" s="13"/>
      <c r="W853" s="13"/>
    </row>
    <row r="854" ht="15.75" customHeight="1" spans="1:23">
      <c r="A854" s="13"/>
      <c r="B854" s="13"/>
      <c r="C854" s="13"/>
      <c r="D854" s="13"/>
      <c r="E854" s="13"/>
      <c r="F854" s="13"/>
      <c r="G854" s="13"/>
      <c r="H854" s="13"/>
      <c r="I854" s="13"/>
      <c r="J854" s="13"/>
      <c r="K854" s="13"/>
      <c r="L854" s="13"/>
      <c r="M854" s="13"/>
      <c r="N854" s="13"/>
      <c r="O854" s="13"/>
      <c r="P854" s="13"/>
      <c r="Q854" s="13"/>
      <c r="R854" s="13"/>
      <c r="S854" s="13"/>
      <c r="T854" s="13"/>
      <c r="U854" s="13"/>
      <c r="V854" s="13"/>
      <c r="W854" s="13"/>
    </row>
    <row r="855" ht="15.75" customHeight="1" spans="1:23">
      <c r="A855" s="13"/>
      <c r="B855" s="13"/>
      <c r="C855" s="13"/>
      <c r="D855" s="13"/>
      <c r="E855" s="13"/>
      <c r="F855" s="13"/>
      <c r="G855" s="13"/>
      <c r="H855" s="13"/>
      <c r="I855" s="13"/>
      <c r="J855" s="13"/>
      <c r="K855" s="13"/>
      <c r="L855" s="13"/>
      <c r="M855" s="13"/>
      <c r="N855" s="13"/>
      <c r="O855" s="13"/>
      <c r="P855" s="13"/>
      <c r="Q855" s="13"/>
      <c r="R855" s="13"/>
      <c r="S855" s="13"/>
      <c r="T855" s="13"/>
      <c r="U855" s="13"/>
      <c r="V855" s="13"/>
      <c r="W855" s="13"/>
    </row>
    <row r="856" ht="15.75" customHeight="1" spans="1:23">
      <c r="A856" s="13"/>
      <c r="B856" s="13"/>
      <c r="C856" s="13"/>
      <c r="D856" s="13"/>
      <c r="E856" s="13"/>
      <c r="F856" s="13"/>
      <c r="G856" s="13"/>
      <c r="H856" s="13"/>
      <c r="I856" s="13"/>
      <c r="J856" s="13"/>
      <c r="K856" s="13"/>
      <c r="L856" s="13"/>
      <c r="M856" s="13"/>
      <c r="N856" s="13"/>
      <c r="O856" s="13"/>
      <c r="P856" s="13"/>
      <c r="Q856" s="13"/>
      <c r="R856" s="13"/>
      <c r="S856" s="13"/>
      <c r="T856" s="13"/>
      <c r="U856" s="13"/>
      <c r="V856" s="13"/>
      <c r="W856" s="13"/>
    </row>
    <row r="857" ht="15.75" customHeight="1" spans="1:23">
      <c r="A857" s="13"/>
      <c r="B857" s="13"/>
      <c r="C857" s="13"/>
      <c r="D857" s="13"/>
      <c r="E857" s="13"/>
      <c r="F857" s="13"/>
      <c r="G857" s="13"/>
      <c r="H857" s="13"/>
      <c r="I857" s="13"/>
      <c r="J857" s="13"/>
      <c r="K857" s="13"/>
      <c r="L857" s="13"/>
      <c r="M857" s="13"/>
      <c r="N857" s="13"/>
      <c r="O857" s="13"/>
      <c r="P857" s="13"/>
      <c r="Q857" s="13"/>
      <c r="R857" s="13"/>
      <c r="S857" s="13"/>
      <c r="T857" s="13"/>
      <c r="U857" s="13"/>
      <c r="V857" s="13"/>
      <c r="W857" s="13"/>
    </row>
    <row r="858" ht="15.75" customHeight="1" spans="1:23">
      <c r="A858" s="13"/>
      <c r="B858" s="13"/>
      <c r="C858" s="13"/>
      <c r="D858" s="13"/>
      <c r="E858" s="13"/>
      <c r="F858" s="13"/>
      <c r="G858" s="13"/>
      <c r="H858" s="13"/>
      <c r="I858" s="13"/>
      <c r="J858" s="13"/>
      <c r="K858" s="13"/>
      <c r="L858" s="13"/>
      <c r="M858" s="13"/>
      <c r="N858" s="13"/>
      <c r="O858" s="13"/>
      <c r="P858" s="13"/>
      <c r="Q858" s="13"/>
      <c r="R858" s="13"/>
      <c r="S858" s="13"/>
      <c r="T858" s="13"/>
      <c r="U858" s="13"/>
      <c r="V858" s="13"/>
      <c r="W858" s="13"/>
    </row>
    <row r="859" ht="15.75" customHeight="1" spans="1:23">
      <c r="A859" s="13"/>
      <c r="B859" s="13"/>
      <c r="C859" s="13"/>
      <c r="D859" s="13"/>
      <c r="E859" s="13"/>
      <c r="F859" s="13"/>
      <c r="G859" s="13"/>
      <c r="H859" s="13"/>
      <c r="I859" s="13"/>
      <c r="J859" s="13"/>
      <c r="K859" s="13"/>
      <c r="L859" s="13"/>
      <c r="M859" s="13"/>
      <c r="N859" s="13"/>
      <c r="O859" s="13"/>
      <c r="P859" s="13"/>
      <c r="Q859" s="13"/>
      <c r="R859" s="13"/>
      <c r="S859" s="13"/>
      <c r="T859" s="13"/>
      <c r="U859" s="13"/>
      <c r="V859" s="13"/>
      <c r="W859" s="13"/>
    </row>
    <row r="860" ht="15.75" customHeight="1" spans="1:23">
      <c r="A860" s="13"/>
      <c r="B860" s="13"/>
      <c r="C860" s="13"/>
      <c r="D860" s="13"/>
      <c r="E860" s="13"/>
      <c r="F860" s="13"/>
      <c r="G860" s="13"/>
      <c r="H860" s="13"/>
      <c r="I860" s="13"/>
      <c r="J860" s="13"/>
      <c r="K860" s="13"/>
      <c r="L860" s="13"/>
      <c r="M860" s="13"/>
      <c r="N860" s="13"/>
      <c r="O860" s="13"/>
      <c r="P860" s="13"/>
      <c r="Q860" s="13"/>
      <c r="R860" s="13"/>
      <c r="S860" s="13"/>
      <c r="T860" s="13"/>
      <c r="U860" s="13"/>
      <c r="V860" s="13"/>
      <c r="W860" s="13"/>
    </row>
    <row r="861" ht="15.75" customHeight="1" spans="1:23">
      <c r="A861" s="13"/>
      <c r="B861" s="13"/>
      <c r="C861" s="13"/>
      <c r="D861" s="13"/>
      <c r="E861" s="13"/>
      <c r="F861" s="13"/>
      <c r="G861" s="13"/>
      <c r="H861" s="13"/>
      <c r="I861" s="13"/>
      <c r="J861" s="13"/>
      <c r="K861" s="13"/>
      <c r="L861" s="13"/>
      <c r="M861" s="13"/>
      <c r="N861" s="13"/>
      <c r="O861" s="13"/>
      <c r="P861" s="13"/>
      <c r="Q861" s="13"/>
      <c r="R861" s="13"/>
      <c r="S861" s="13"/>
      <c r="T861" s="13"/>
      <c r="U861" s="13"/>
      <c r="V861" s="13"/>
      <c r="W861" s="13"/>
    </row>
    <row r="862" ht="15.75" customHeight="1" spans="1:23">
      <c r="A862" s="13"/>
      <c r="B862" s="13"/>
      <c r="C862" s="13"/>
      <c r="D862" s="13"/>
      <c r="E862" s="13"/>
      <c r="F862" s="13"/>
      <c r="G862" s="13"/>
      <c r="H862" s="13"/>
      <c r="I862" s="13"/>
      <c r="J862" s="13"/>
      <c r="K862" s="13"/>
      <c r="L862" s="13"/>
      <c r="M862" s="13"/>
      <c r="N862" s="13"/>
      <c r="O862" s="13"/>
      <c r="P862" s="13"/>
      <c r="Q862" s="13"/>
      <c r="R862" s="13"/>
      <c r="S862" s="13"/>
      <c r="T862" s="13"/>
      <c r="U862" s="13"/>
      <c r="V862" s="13"/>
      <c r="W862" s="13"/>
    </row>
    <row r="863" ht="15.75" customHeight="1" spans="1:23">
      <c r="A863" s="13"/>
      <c r="B863" s="13"/>
      <c r="C863" s="13"/>
      <c r="D863" s="13"/>
      <c r="E863" s="13"/>
      <c r="F863" s="13"/>
      <c r="G863" s="13"/>
      <c r="H863" s="13"/>
      <c r="I863" s="13"/>
      <c r="J863" s="13"/>
      <c r="K863" s="13"/>
      <c r="L863" s="13"/>
      <c r="M863" s="13"/>
      <c r="N863" s="13"/>
      <c r="O863" s="13"/>
      <c r="P863" s="13"/>
      <c r="Q863" s="13"/>
      <c r="R863" s="13"/>
      <c r="S863" s="13"/>
      <c r="T863" s="13"/>
      <c r="U863" s="13"/>
      <c r="V863" s="13"/>
      <c r="W863" s="13"/>
    </row>
    <row r="864" ht="15.75" customHeight="1" spans="1:23">
      <c r="A864" s="13"/>
      <c r="B864" s="13"/>
      <c r="C864" s="13"/>
      <c r="D864" s="13"/>
      <c r="E864" s="13"/>
      <c r="F864" s="13"/>
      <c r="G864" s="13"/>
      <c r="H864" s="13"/>
      <c r="I864" s="13"/>
      <c r="J864" s="13"/>
      <c r="K864" s="13"/>
      <c r="L864" s="13"/>
      <c r="M864" s="13"/>
      <c r="N864" s="13"/>
      <c r="O864" s="13"/>
      <c r="P864" s="13"/>
      <c r="Q864" s="13"/>
      <c r="R864" s="13"/>
      <c r="S864" s="13"/>
      <c r="T864" s="13"/>
      <c r="U864" s="13"/>
      <c r="V864" s="13"/>
      <c r="W864" s="13"/>
    </row>
    <row r="865" ht="15.75" customHeight="1" spans="1:23">
      <c r="A865" s="13"/>
      <c r="B865" s="13"/>
      <c r="C865" s="13"/>
      <c r="D865" s="13"/>
      <c r="E865" s="13"/>
      <c r="F865" s="13"/>
      <c r="G865" s="13"/>
      <c r="H865" s="13"/>
      <c r="I865" s="13"/>
      <c r="J865" s="13"/>
      <c r="K865" s="13"/>
      <c r="L865" s="13"/>
      <c r="M865" s="13"/>
      <c r="N865" s="13"/>
      <c r="O865" s="13"/>
      <c r="P865" s="13"/>
      <c r="Q865" s="13"/>
      <c r="R865" s="13"/>
      <c r="S865" s="13"/>
      <c r="T865" s="13"/>
      <c r="U865" s="13"/>
      <c r="V865" s="13"/>
      <c r="W865" s="13"/>
    </row>
    <row r="866" ht="15.75" customHeight="1" spans="1:23">
      <c r="A866" s="13"/>
      <c r="B866" s="13"/>
      <c r="C866" s="13"/>
      <c r="D866" s="13"/>
      <c r="E866" s="13"/>
      <c r="F866" s="13"/>
      <c r="G866" s="13"/>
      <c r="H866" s="13"/>
      <c r="I866" s="13"/>
      <c r="J866" s="13"/>
      <c r="K866" s="13"/>
      <c r="L866" s="13"/>
      <c r="M866" s="13"/>
      <c r="N866" s="13"/>
      <c r="O866" s="13"/>
      <c r="P866" s="13"/>
      <c r="Q866" s="13"/>
      <c r="R866" s="13"/>
      <c r="S866" s="13"/>
      <c r="T866" s="13"/>
      <c r="U866" s="13"/>
      <c r="V866" s="13"/>
      <c r="W866" s="13"/>
    </row>
    <row r="867" ht="15.75" customHeight="1" spans="1:23">
      <c r="A867" s="13"/>
      <c r="B867" s="13"/>
      <c r="C867" s="13"/>
      <c r="D867" s="13"/>
      <c r="E867" s="13"/>
      <c r="F867" s="13"/>
      <c r="G867" s="13"/>
      <c r="H867" s="13"/>
      <c r="I867" s="13"/>
      <c r="J867" s="13"/>
      <c r="K867" s="13"/>
      <c r="L867" s="13"/>
      <c r="M867" s="13"/>
      <c r="N867" s="13"/>
      <c r="O867" s="13"/>
      <c r="P867" s="13"/>
      <c r="Q867" s="13"/>
      <c r="R867" s="13"/>
      <c r="S867" s="13"/>
      <c r="T867" s="13"/>
      <c r="U867" s="13"/>
      <c r="V867" s="13"/>
      <c r="W867" s="13"/>
    </row>
    <row r="868" ht="15.75" customHeight="1" spans="1:23">
      <c r="A868" s="13"/>
      <c r="B868" s="13"/>
      <c r="C868" s="13"/>
      <c r="D868" s="13"/>
      <c r="E868" s="13"/>
      <c r="F868" s="13"/>
      <c r="G868" s="13"/>
      <c r="H868" s="13"/>
      <c r="I868" s="13"/>
      <c r="J868" s="13"/>
      <c r="K868" s="13"/>
      <c r="L868" s="13"/>
      <c r="M868" s="13"/>
      <c r="N868" s="13"/>
      <c r="O868" s="13"/>
      <c r="P868" s="13"/>
      <c r="Q868" s="13"/>
      <c r="R868" s="13"/>
      <c r="S868" s="13"/>
      <c r="T868" s="13"/>
      <c r="U868" s="13"/>
      <c r="V868" s="13"/>
      <c r="W868" s="13"/>
    </row>
    <row r="869" ht="15.75" customHeight="1" spans="1:23">
      <c r="A869" s="13"/>
      <c r="B869" s="13"/>
      <c r="C869" s="13"/>
      <c r="D869" s="13"/>
      <c r="E869" s="13"/>
      <c r="F869" s="13"/>
      <c r="G869" s="13"/>
      <c r="H869" s="13"/>
      <c r="I869" s="13"/>
      <c r="J869" s="13"/>
      <c r="K869" s="13"/>
      <c r="L869" s="13"/>
      <c r="M869" s="13"/>
      <c r="N869" s="13"/>
      <c r="O869" s="13"/>
      <c r="P869" s="13"/>
      <c r="Q869" s="13"/>
      <c r="R869" s="13"/>
      <c r="S869" s="13"/>
      <c r="T869" s="13"/>
      <c r="U869" s="13"/>
      <c r="V869" s="13"/>
      <c r="W869" s="13"/>
    </row>
    <row r="870" ht="15.75" customHeight="1" spans="1:23">
      <c r="A870" s="13"/>
      <c r="B870" s="13"/>
      <c r="C870" s="13"/>
      <c r="D870" s="13"/>
      <c r="E870" s="13"/>
      <c r="F870" s="13"/>
      <c r="G870" s="13"/>
      <c r="H870" s="13"/>
      <c r="I870" s="13"/>
      <c r="J870" s="13"/>
      <c r="K870" s="13"/>
      <c r="L870" s="13"/>
      <c r="M870" s="13"/>
      <c r="N870" s="13"/>
      <c r="O870" s="13"/>
      <c r="P870" s="13"/>
      <c r="Q870" s="13"/>
      <c r="R870" s="13"/>
      <c r="S870" s="13"/>
      <c r="T870" s="13"/>
      <c r="U870" s="13"/>
      <c r="V870" s="13"/>
      <c r="W870" s="13"/>
    </row>
    <row r="871" ht="15.75" customHeight="1" spans="1:23">
      <c r="A871" s="13"/>
      <c r="B871" s="13"/>
      <c r="C871" s="13"/>
      <c r="D871" s="13"/>
      <c r="E871" s="13"/>
      <c r="F871" s="13"/>
      <c r="G871" s="13"/>
      <c r="H871" s="13"/>
      <c r="I871" s="13"/>
      <c r="J871" s="13"/>
      <c r="K871" s="13"/>
      <c r="L871" s="13"/>
      <c r="M871" s="13"/>
      <c r="N871" s="13"/>
      <c r="O871" s="13"/>
      <c r="P871" s="13"/>
      <c r="Q871" s="13"/>
      <c r="R871" s="13"/>
      <c r="S871" s="13"/>
      <c r="T871" s="13"/>
      <c r="U871" s="13"/>
      <c r="V871" s="13"/>
      <c r="W871" s="13"/>
    </row>
    <row r="872" ht="15.75" customHeight="1" spans="1:23">
      <c r="A872" s="13"/>
      <c r="B872" s="13"/>
      <c r="C872" s="13"/>
      <c r="D872" s="13"/>
      <c r="E872" s="13"/>
      <c r="F872" s="13"/>
      <c r="G872" s="13"/>
      <c r="H872" s="13"/>
      <c r="I872" s="13"/>
      <c r="J872" s="13"/>
      <c r="K872" s="13"/>
      <c r="L872" s="13"/>
      <c r="M872" s="13"/>
      <c r="N872" s="13"/>
      <c r="O872" s="13"/>
      <c r="P872" s="13"/>
      <c r="Q872" s="13"/>
      <c r="R872" s="13"/>
      <c r="S872" s="13"/>
      <c r="T872" s="13"/>
      <c r="U872" s="13"/>
      <c r="V872" s="13"/>
      <c r="W872" s="13"/>
    </row>
    <row r="873" ht="15.75" customHeight="1" spans="1:23">
      <c r="A873" s="13"/>
      <c r="B873" s="13"/>
      <c r="C873" s="13"/>
      <c r="D873" s="13"/>
      <c r="E873" s="13"/>
      <c r="F873" s="13"/>
      <c r="G873" s="13"/>
      <c r="H873" s="13"/>
      <c r="I873" s="13"/>
      <c r="J873" s="13"/>
      <c r="K873" s="13"/>
      <c r="L873" s="13"/>
      <c r="M873" s="13"/>
      <c r="N873" s="13"/>
      <c r="O873" s="13"/>
      <c r="P873" s="13"/>
      <c r="Q873" s="13"/>
      <c r="R873" s="13"/>
      <c r="S873" s="13"/>
      <c r="T873" s="13"/>
      <c r="U873" s="13"/>
      <c r="V873" s="13"/>
      <c r="W873" s="13"/>
    </row>
    <row r="874" ht="15.75" customHeight="1" spans="1:23">
      <c r="A874" s="13"/>
      <c r="B874" s="13"/>
      <c r="C874" s="13"/>
      <c r="D874" s="13"/>
      <c r="E874" s="13"/>
      <c r="F874" s="13"/>
      <c r="G874" s="13"/>
      <c r="H874" s="13"/>
      <c r="I874" s="13"/>
      <c r="J874" s="13"/>
      <c r="K874" s="13"/>
      <c r="L874" s="13"/>
      <c r="M874" s="13"/>
      <c r="N874" s="13"/>
      <c r="O874" s="13"/>
      <c r="P874" s="13"/>
      <c r="Q874" s="13"/>
      <c r="R874" s="13"/>
      <c r="S874" s="13"/>
      <c r="T874" s="13"/>
      <c r="U874" s="13"/>
      <c r="V874" s="13"/>
      <c r="W874" s="13"/>
    </row>
    <row r="875" ht="15.75" customHeight="1" spans="1:23">
      <c r="A875" s="13"/>
      <c r="B875" s="13"/>
      <c r="C875" s="13"/>
      <c r="D875" s="13"/>
      <c r="E875" s="13"/>
      <c r="F875" s="13"/>
      <c r="G875" s="13"/>
      <c r="H875" s="13"/>
      <c r="I875" s="13"/>
      <c r="J875" s="13"/>
      <c r="K875" s="13"/>
      <c r="L875" s="13"/>
      <c r="M875" s="13"/>
      <c r="N875" s="13"/>
      <c r="O875" s="13"/>
      <c r="P875" s="13"/>
      <c r="Q875" s="13"/>
      <c r="R875" s="13"/>
      <c r="S875" s="13"/>
      <c r="T875" s="13"/>
      <c r="U875" s="13"/>
      <c r="V875" s="13"/>
      <c r="W875" s="13"/>
    </row>
    <row r="876" ht="15.75" customHeight="1" spans="1:23">
      <c r="A876" s="13"/>
      <c r="B876" s="13"/>
      <c r="C876" s="13"/>
      <c r="D876" s="13"/>
      <c r="E876" s="13"/>
      <c r="F876" s="13"/>
      <c r="G876" s="13"/>
      <c r="H876" s="13"/>
      <c r="I876" s="13"/>
      <c r="J876" s="13"/>
      <c r="K876" s="13"/>
      <c r="L876" s="13"/>
      <c r="M876" s="13"/>
      <c r="N876" s="13"/>
      <c r="O876" s="13"/>
      <c r="P876" s="13"/>
      <c r="Q876" s="13"/>
      <c r="R876" s="13"/>
      <c r="S876" s="13"/>
      <c r="T876" s="13"/>
      <c r="U876" s="13"/>
      <c r="V876" s="13"/>
      <c r="W876" s="13"/>
    </row>
    <row r="877" ht="15.75" customHeight="1" spans="1:23">
      <c r="A877" s="13"/>
      <c r="B877" s="13"/>
      <c r="C877" s="13"/>
      <c r="D877" s="13"/>
      <c r="E877" s="13"/>
      <c r="F877" s="13"/>
      <c r="G877" s="13"/>
      <c r="H877" s="13"/>
      <c r="I877" s="13"/>
      <c r="J877" s="13"/>
      <c r="K877" s="13"/>
      <c r="L877" s="13"/>
      <c r="M877" s="13"/>
      <c r="N877" s="13"/>
      <c r="O877" s="13"/>
      <c r="P877" s="13"/>
      <c r="Q877" s="13"/>
      <c r="R877" s="13"/>
      <c r="S877" s="13"/>
      <c r="T877" s="13"/>
      <c r="U877" s="13"/>
      <c r="V877" s="13"/>
      <c r="W877" s="13"/>
    </row>
    <row r="878" ht="15.75" customHeight="1" spans="1:23">
      <c r="A878" s="13"/>
      <c r="B878" s="13"/>
      <c r="C878" s="13"/>
      <c r="D878" s="13"/>
      <c r="E878" s="13"/>
      <c r="F878" s="13"/>
      <c r="G878" s="13"/>
      <c r="H878" s="13"/>
      <c r="I878" s="13"/>
      <c r="J878" s="13"/>
      <c r="K878" s="13"/>
      <c r="L878" s="13"/>
      <c r="M878" s="13"/>
      <c r="N878" s="13"/>
      <c r="O878" s="13"/>
      <c r="P878" s="13"/>
      <c r="Q878" s="13"/>
      <c r="R878" s="13"/>
      <c r="S878" s="13"/>
      <c r="T878" s="13"/>
      <c r="U878" s="13"/>
      <c r="V878" s="13"/>
      <c r="W878" s="13"/>
    </row>
    <row r="879" ht="15.75" customHeight="1" spans="1:23">
      <c r="A879" s="13"/>
      <c r="B879" s="13"/>
      <c r="C879" s="13"/>
      <c r="D879" s="13"/>
      <c r="E879" s="13"/>
      <c r="F879" s="13"/>
      <c r="G879" s="13"/>
      <c r="H879" s="13"/>
      <c r="I879" s="13"/>
      <c r="J879" s="13"/>
      <c r="K879" s="13"/>
      <c r="L879" s="13"/>
      <c r="M879" s="13"/>
      <c r="N879" s="13"/>
      <c r="O879" s="13"/>
      <c r="P879" s="13"/>
      <c r="Q879" s="13"/>
      <c r="R879" s="13"/>
      <c r="S879" s="13"/>
      <c r="T879" s="13"/>
      <c r="U879" s="13"/>
      <c r="V879" s="13"/>
      <c r="W879" s="13"/>
    </row>
    <row r="880" ht="15.75" customHeight="1" spans="1:23">
      <c r="A880" s="13"/>
      <c r="B880" s="13"/>
      <c r="C880" s="13"/>
      <c r="D880" s="13"/>
      <c r="E880" s="13"/>
      <c r="F880" s="13"/>
      <c r="G880" s="13"/>
      <c r="H880" s="13"/>
      <c r="I880" s="13"/>
      <c r="J880" s="13"/>
      <c r="K880" s="13"/>
      <c r="L880" s="13"/>
      <c r="M880" s="13"/>
      <c r="N880" s="13"/>
      <c r="O880" s="13"/>
      <c r="P880" s="13"/>
      <c r="Q880" s="13"/>
      <c r="R880" s="13"/>
      <c r="S880" s="13"/>
      <c r="T880" s="13"/>
      <c r="U880" s="13"/>
      <c r="V880" s="13"/>
      <c r="W880" s="13"/>
    </row>
    <row r="881" ht="15.75" customHeight="1" spans="1:23">
      <c r="A881" s="13"/>
      <c r="B881" s="13"/>
      <c r="C881" s="13"/>
      <c r="D881" s="13"/>
      <c r="E881" s="13"/>
      <c r="F881" s="13"/>
      <c r="G881" s="13"/>
      <c r="H881" s="13"/>
      <c r="I881" s="13"/>
      <c r="J881" s="13"/>
      <c r="K881" s="13"/>
      <c r="L881" s="13"/>
      <c r="M881" s="13"/>
      <c r="N881" s="13"/>
      <c r="O881" s="13"/>
      <c r="P881" s="13"/>
      <c r="Q881" s="13"/>
      <c r="R881" s="13"/>
      <c r="S881" s="13"/>
      <c r="T881" s="13"/>
      <c r="U881" s="13"/>
      <c r="V881" s="13"/>
      <c r="W881" s="13"/>
    </row>
    <row r="882" ht="15.75" customHeight="1" spans="1:23">
      <c r="A882" s="13"/>
      <c r="B882" s="13"/>
      <c r="C882" s="13"/>
      <c r="D882" s="13"/>
      <c r="E882" s="13"/>
      <c r="F882" s="13"/>
      <c r="G882" s="13"/>
      <c r="H882" s="13"/>
      <c r="I882" s="13"/>
      <c r="J882" s="13"/>
      <c r="K882" s="13"/>
      <c r="L882" s="13"/>
      <c r="M882" s="13"/>
      <c r="N882" s="13"/>
      <c r="O882" s="13"/>
      <c r="P882" s="13"/>
      <c r="Q882" s="13"/>
      <c r="R882" s="13"/>
      <c r="S882" s="13"/>
      <c r="T882" s="13"/>
      <c r="U882" s="13"/>
      <c r="V882" s="13"/>
      <c r="W882" s="13"/>
    </row>
    <row r="883" ht="15.75" customHeight="1" spans="1:23">
      <c r="A883" s="13"/>
      <c r="B883" s="13"/>
      <c r="C883" s="13"/>
      <c r="D883" s="13"/>
      <c r="E883" s="13"/>
      <c r="F883" s="13"/>
      <c r="G883" s="13"/>
      <c r="H883" s="13"/>
      <c r="I883" s="13"/>
      <c r="J883" s="13"/>
      <c r="K883" s="13"/>
      <c r="L883" s="13"/>
      <c r="M883" s="13"/>
      <c r="N883" s="13"/>
      <c r="O883" s="13"/>
      <c r="P883" s="13"/>
      <c r="Q883" s="13"/>
      <c r="R883" s="13"/>
      <c r="S883" s="13"/>
      <c r="T883" s="13"/>
      <c r="U883" s="13"/>
      <c r="V883" s="13"/>
      <c r="W883" s="13"/>
    </row>
    <row r="884" ht="15.75" customHeight="1" spans="1:23">
      <c r="A884" s="13"/>
      <c r="B884" s="13"/>
      <c r="C884" s="13"/>
      <c r="D884" s="13"/>
      <c r="E884" s="13"/>
      <c r="F884" s="13"/>
      <c r="G884" s="13"/>
      <c r="H884" s="13"/>
      <c r="I884" s="13"/>
      <c r="J884" s="13"/>
      <c r="K884" s="13"/>
      <c r="L884" s="13"/>
      <c r="M884" s="13"/>
      <c r="N884" s="13"/>
      <c r="O884" s="13"/>
      <c r="P884" s="13"/>
      <c r="Q884" s="13"/>
      <c r="R884" s="13"/>
      <c r="S884" s="13"/>
      <c r="T884" s="13"/>
      <c r="U884" s="13"/>
      <c r="V884" s="13"/>
      <c r="W884" s="13"/>
    </row>
    <row r="885" ht="15.75" customHeight="1" spans="1:23">
      <c r="A885" s="13"/>
      <c r="B885" s="13"/>
      <c r="C885" s="13"/>
      <c r="D885" s="13"/>
      <c r="E885" s="13"/>
      <c r="F885" s="13"/>
      <c r="G885" s="13"/>
      <c r="H885" s="13"/>
      <c r="I885" s="13"/>
      <c r="J885" s="13"/>
      <c r="K885" s="13"/>
      <c r="L885" s="13"/>
      <c r="M885" s="13"/>
      <c r="N885" s="13"/>
      <c r="O885" s="13"/>
      <c r="P885" s="13"/>
      <c r="Q885" s="13"/>
      <c r="R885" s="13"/>
      <c r="S885" s="13"/>
      <c r="T885" s="13"/>
      <c r="U885" s="13"/>
      <c r="V885" s="13"/>
      <c r="W885" s="13"/>
    </row>
    <row r="886" ht="15.75" customHeight="1" spans="1:23">
      <c r="A886" s="13"/>
      <c r="B886" s="13"/>
      <c r="C886" s="13"/>
      <c r="D886" s="13"/>
      <c r="E886" s="13"/>
      <c r="F886" s="13"/>
      <c r="G886" s="13"/>
      <c r="H886" s="13"/>
      <c r="I886" s="13"/>
      <c r="J886" s="13"/>
      <c r="K886" s="13"/>
      <c r="L886" s="13"/>
      <c r="M886" s="13"/>
      <c r="N886" s="13"/>
      <c r="O886" s="13"/>
      <c r="P886" s="13"/>
      <c r="Q886" s="13"/>
      <c r="R886" s="13"/>
      <c r="S886" s="13"/>
      <c r="T886" s="13"/>
      <c r="U886" s="13"/>
      <c r="V886" s="13"/>
      <c r="W886" s="13"/>
    </row>
    <row r="887" ht="15.75" customHeight="1" spans="1:23">
      <c r="A887" s="13"/>
      <c r="B887" s="13"/>
      <c r="C887" s="13"/>
      <c r="D887" s="13"/>
      <c r="E887" s="13"/>
      <c r="F887" s="13"/>
      <c r="G887" s="13"/>
      <c r="H887" s="13"/>
      <c r="I887" s="13"/>
      <c r="J887" s="13"/>
      <c r="K887" s="13"/>
      <c r="L887" s="13"/>
      <c r="M887" s="13"/>
      <c r="N887" s="13"/>
      <c r="O887" s="13"/>
      <c r="P887" s="13"/>
      <c r="Q887" s="13"/>
      <c r="R887" s="13"/>
      <c r="S887" s="13"/>
      <c r="T887" s="13"/>
      <c r="U887" s="13"/>
      <c r="V887" s="13"/>
      <c r="W887" s="13"/>
    </row>
    <row r="888" ht="15.75" customHeight="1" spans="1:23">
      <c r="A888" s="13"/>
      <c r="B888" s="13"/>
      <c r="C888" s="13"/>
      <c r="D888" s="13"/>
      <c r="E888" s="13"/>
      <c r="F888" s="13"/>
      <c r="G888" s="13"/>
      <c r="H888" s="13"/>
      <c r="I888" s="13"/>
      <c r="J888" s="13"/>
      <c r="K888" s="13"/>
      <c r="L888" s="13"/>
      <c r="M888" s="13"/>
      <c r="N888" s="13"/>
      <c r="O888" s="13"/>
      <c r="P888" s="13"/>
      <c r="Q888" s="13"/>
      <c r="R888" s="13"/>
      <c r="S888" s="13"/>
      <c r="T888" s="13"/>
      <c r="U888" s="13"/>
      <c r="V888" s="13"/>
      <c r="W888" s="13"/>
    </row>
    <row r="889" ht="15.75" customHeight="1" spans="1:23">
      <c r="A889" s="13"/>
      <c r="B889" s="13"/>
      <c r="C889" s="13"/>
      <c r="D889" s="13"/>
      <c r="E889" s="13"/>
      <c r="F889" s="13"/>
      <c r="G889" s="13"/>
      <c r="H889" s="13"/>
      <c r="I889" s="13"/>
      <c r="J889" s="13"/>
      <c r="K889" s="13"/>
      <c r="L889" s="13"/>
      <c r="M889" s="13"/>
      <c r="N889" s="13"/>
      <c r="O889" s="13"/>
      <c r="P889" s="13"/>
      <c r="Q889" s="13"/>
      <c r="R889" s="13"/>
      <c r="S889" s="13"/>
      <c r="T889" s="13"/>
      <c r="U889" s="13"/>
      <c r="V889" s="13"/>
      <c r="W889" s="13"/>
    </row>
    <row r="890" ht="15.75" customHeight="1" spans="1:23">
      <c r="A890" s="13"/>
      <c r="B890" s="13"/>
      <c r="C890" s="13"/>
      <c r="D890" s="13"/>
      <c r="E890" s="13"/>
      <c r="F890" s="13"/>
      <c r="G890" s="13"/>
      <c r="H890" s="13"/>
      <c r="I890" s="13"/>
      <c r="J890" s="13"/>
      <c r="K890" s="13"/>
      <c r="L890" s="13"/>
      <c r="M890" s="13"/>
      <c r="N890" s="13"/>
      <c r="O890" s="13"/>
      <c r="P890" s="13"/>
      <c r="Q890" s="13"/>
      <c r="R890" s="13"/>
      <c r="S890" s="13"/>
      <c r="T890" s="13"/>
      <c r="U890" s="13"/>
      <c r="V890" s="13"/>
      <c r="W890" s="13"/>
    </row>
    <row r="891" ht="15.75" customHeight="1" spans="1:23">
      <c r="A891" s="13"/>
      <c r="B891" s="13"/>
      <c r="C891" s="13"/>
      <c r="D891" s="13"/>
      <c r="E891" s="13"/>
      <c r="F891" s="13"/>
      <c r="G891" s="13"/>
      <c r="H891" s="13"/>
      <c r="I891" s="13"/>
      <c r="J891" s="13"/>
      <c r="K891" s="13"/>
      <c r="L891" s="13"/>
      <c r="M891" s="13"/>
      <c r="N891" s="13"/>
      <c r="O891" s="13"/>
      <c r="P891" s="13"/>
      <c r="Q891" s="13"/>
      <c r="R891" s="13"/>
      <c r="S891" s="13"/>
      <c r="T891" s="13"/>
      <c r="U891" s="13"/>
      <c r="V891" s="13"/>
      <c r="W891" s="13"/>
    </row>
    <row r="892" ht="15.75" customHeight="1" spans="1:23">
      <c r="A892" s="13"/>
      <c r="B892" s="13"/>
      <c r="C892" s="13"/>
      <c r="D892" s="13"/>
      <c r="E892" s="13"/>
      <c r="F892" s="13"/>
      <c r="G892" s="13"/>
      <c r="H892" s="13"/>
      <c r="I892" s="13"/>
      <c r="J892" s="13"/>
      <c r="K892" s="13"/>
      <c r="L892" s="13"/>
      <c r="M892" s="13"/>
      <c r="N892" s="13"/>
      <c r="O892" s="13"/>
      <c r="P892" s="13"/>
      <c r="Q892" s="13"/>
      <c r="R892" s="13"/>
      <c r="S892" s="13"/>
      <c r="T892" s="13"/>
      <c r="U892" s="13"/>
      <c r="V892" s="13"/>
      <c r="W892" s="13"/>
    </row>
    <row r="893" ht="15.75" customHeight="1" spans="1:23">
      <c r="A893" s="13"/>
      <c r="B893" s="13"/>
      <c r="C893" s="13"/>
      <c r="D893" s="13"/>
      <c r="E893" s="13"/>
      <c r="F893" s="13"/>
      <c r="G893" s="13"/>
      <c r="H893" s="13"/>
      <c r="I893" s="13"/>
      <c r="J893" s="13"/>
      <c r="K893" s="13"/>
      <c r="L893" s="13"/>
      <c r="M893" s="13"/>
      <c r="N893" s="13"/>
      <c r="O893" s="13"/>
      <c r="P893" s="13"/>
      <c r="Q893" s="13"/>
      <c r="R893" s="13"/>
      <c r="S893" s="13"/>
      <c r="T893" s="13"/>
      <c r="U893" s="13"/>
      <c r="V893" s="13"/>
      <c r="W893" s="13"/>
    </row>
    <row r="894" ht="15.75" customHeight="1" spans="1:23">
      <c r="A894" s="13"/>
      <c r="B894" s="13"/>
      <c r="C894" s="13"/>
      <c r="D894" s="13"/>
      <c r="E894" s="13"/>
      <c r="F894" s="13"/>
      <c r="G894" s="13"/>
      <c r="H894" s="13"/>
      <c r="I894" s="13"/>
      <c r="J894" s="13"/>
      <c r="K894" s="13"/>
      <c r="L894" s="13"/>
      <c r="M894" s="13"/>
      <c r="N894" s="13"/>
      <c r="O894" s="13"/>
      <c r="P894" s="13"/>
      <c r="Q894" s="13"/>
      <c r="R894" s="13"/>
      <c r="S894" s="13"/>
      <c r="T894" s="13"/>
      <c r="U894" s="13"/>
      <c r="V894" s="13"/>
      <c r="W894" s="13"/>
    </row>
    <row r="895" ht="15.75" customHeight="1" spans="1:23">
      <c r="A895" s="13"/>
      <c r="B895" s="13"/>
      <c r="C895" s="13"/>
      <c r="D895" s="13"/>
      <c r="E895" s="13"/>
      <c r="F895" s="13"/>
      <c r="G895" s="13"/>
      <c r="H895" s="13"/>
      <c r="I895" s="13"/>
      <c r="J895" s="13"/>
      <c r="K895" s="13"/>
      <c r="L895" s="13"/>
      <c r="M895" s="13"/>
      <c r="N895" s="13"/>
      <c r="O895" s="13"/>
      <c r="P895" s="13"/>
      <c r="Q895" s="13"/>
      <c r="R895" s="13"/>
      <c r="S895" s="13"/>
      <c r="T895" s="13"/>
      <c r="U895" s="13"/>
      <c r="V895" s="13"/>
      <c r="W895" s="13"/>
    </row>
    <row r="896" ht="15.75" customHeight="1" spans="1:23">
      <c r="A896" s="13"/>
      <c r="B896" s="13"/>
      <c r="C896" s="13"/>
      <c r="D896" s="13"/>
      <c r="E896" s="13"/>
      <c r="F896" s="13"/>
      <c r="G896" s="13"/>
      <c r="H896" s="13"/>
      <c r="I896" s="13"/>
      <c r="J896" s="13"/>
      <c r="K896" s="13"/>
      <c r="L896" s="13"/>
      <c r="M896" s="13"/>
      <c r="N896" s="13"/>
      <c r="O896" s="13"/>
      <c r="P896" s="13"/>
      <c r="Q896" s="13"/>
      <c r="R896" s="13"/>
      <c r="S896" s="13"/>
      <c r="T896" s="13"/>
      <c r="U896" s="13"/>
      <c r="V896" s="13"/>
      <c r="W896" s="13"/>
    </row>
    <row r="897" ht="15.75" customHeight="1" spans="1:23">
      <c r="A897" s="13"/>
      <c r="B897" s="13"/>
      <c r="C897" s="13"/>
      <c r="D897" s="13"/>
      <c r="E897" s="13"/>
      <c r="F897" s="13"/>
      <c r="G897" s="13"/>
      <c r="H897" s="13"/>
      <c r="I897" s="13"/>
      <c r="J897" s="13"/>
      <c r="K897" s="13"/>
      <c r="L897" s="13"/>
      <c r="M897" s="13"/>
      <c r="N897" s="13"/>
      <c r="O897" s="13"/>
      <c r="P897" s="13"/>
      <c r="Q897" s="13"/>
      <c r="R897" s="13"/>
      <c r="S897" s="13"/>
      <c r="T897" s="13"/>
      <c r="U897" s="13"/>
      <c r="V897" s="13"/>
      <c r="W897" s="13"/>
    </row>
    <row r="898" ht="15.75" customHeight="1" spans="1:23">
      <c r="A898" s="13"/>
      <c r="B898" s="13"/>
      <c r="C898" s="13"/>
      <c r="D898" s="13"/>
      <c r="E898" s="13"/>
      <c r="F898" s="13"/>
      <c r="G898" s="13"/>
      <c r="H898" s="13"/>
      <c r="I898" s="13"/>
      <c r="J898" s="13"/>
      <c r="K898" s="13"/>
      <c r="L898" s="13"/>
      <c r="M898" s="13"/>
      <c r="N898" s="13"/>
      <c r="O898" s="13"/>
      <c r="P898" s="13"/>
      <c r="Q898" s="13"/>
      <c r="R898" s="13"/>
      <c r="S898" s="13"/>
      <c r="T898" s="13"/>
      <c r="U898" s="13"/>
      <c r="V898" s="13"/>
      <c r="W898" s="13"/>
    </row>
    <row r="899" ht="15.75" customHeight="1" spans="1:23">
      <c r="A899" s="13"/>
      <c r="B899" s="13"/>
      <c r="C899" s="13"/>
      <c r="D899" s="13"/>
      <c r="E899" s="13"/>
      <c r="F899" s="13"/>
      <c r="G899" s="13"/>
      <c r="H899" s="13"/>
      <c r="I899" s="13"/>
      <c r="J899" s="13"/>
      <c r="K899" s="13"/>
      <c r="L899" s="13"/>
      <c r="M899" s="13"/>
      <c r="N899" s="13"/>
      <c r="O899" s="13"/>
      <c r="P899" s="13"/>
      <c r="Q899" s="13"/>
      <c r="R899" s="13"/>
      <c r="S899" s="13"/>
      <c r="T899" s="13"/>
      <c r="U899" s="13"/>
      <c r="V899" s="13"/>
      <c r="W899" s="13"/>
    </row>
    <row r="900" ht="15.75" customHeight="1" spans="1:23">
      <c r="A900" s="13"/>
      <c r="B900" s="13"/>
      <c r="C900" s="13"/>
      <c r="D900" s="13"/>
      <c r="E900" s="13"/>
      <c r="F900" s="13"/>
      <c r="G900" s="13"/>
      <c r="H900" s="13"/>
      <c r="I900" s="13"/>
      <c r="J900" s="13"/>
      <c r="K900" s="13"/>
      <c r="L900" s="13"/>
      <c r="M900" s="13"/>
      <c r="N900" s="13"/>
      <c r="O900" s="13"/>
      <c r="P900" s="13"/>
      <c r="Q900" s="13"/>
      <c r="R900" s="13"/>
      <c r="S900" s="13"/>
      <c r="T900" s="13"/>
      <c r="U900" s="13"/>
      <c r="V900" s="13"/>
      <c r="W900" s="13"/>
    </row>
    <row r="901" ht="15.75" customHeight="1" spans="1:23">
      <c r="A901" s="13"/>
      <c r="B901" s="13"/>
      <c r="C901" s="13"/>
      <c r="D901" s="13"/>
      <c r="E901" s="13"/>
      <c r="F901" s="13"/>
      <c r="G901" s="13"/>
      <c r="H901" s="13"/>
      <c r="I901" s="13"/>
      <c r="J901" s="13"/>
      <c r="K901" s="13"/>
      <c r="L901" s="13"/>
      <c r="M901" s="13"/>
      <c r="N901" s="13"/>
      <c r="O901" s="13"/>
      <c r="P901" s="13"/>
      <c r="Q901" s="13"/>
      <c r="R901" s="13"/>
      <c r="S901" s="13"/>
      <c r="T901" s="13"/>
      <c r="U901" s="13"/>
      <c r="V901" s="13"/>
      <c r="W901" s="13"/>
    </row>
    <row r="902" ht="15.75" customHeight="1" spans="1:23">
      <c r="A902" s="13"/>
      <c r="B902" s="13"/>
      <c r="C902" s="13"/>
      <c r="D902" s="13"/>
      <c r="E902" s="13"/>
      <c r="F902" s="13"/>
      <c r="G902" s="13"/>
      <c r="H902" s="13"/>
      <c r="I902" s="13"/>
      <c r="J902" s="13"/>
      <c r="K902" s="13"/>
      <c r="L902" s="13"/>
      <c r="M902" s="13"/>
      <c r="N902" s="13"/>
      <c r="O902" s="13"/>
      <c r="P902" s="13"/>
      <c r="Q902" s="13"/>
      <c r="R902" s="13"/>
      <c r="S902" s="13"/>
      <c r="T902" s="13"/>
      <c r="U902" s="13"/>
      <c r="V902" s="13"/>
      <c r="W902" s="13"/>
    </row>
    <row r="903" ht="15.75" customHeight="1" spans="1:23">
      <c r="A903" s="13"/>
      <c r="B903" s="13"/>
      <c r="C903" s="13"/>
      <c r="D903" s="13"/>
      <c r="E903" s="13"/>
      <c r="F903" s="13"/>
      <c r="G903" s="13"/>
      <c r="H903" s="13"/>
      <c r="I903" s="13"/>
      <c r="J903" s="13"/>
      <c r="K903" s="13"/>
      <c r="L903" s="13"/>
      <c r="M903" s="13"/>
      <c r="N903" s="13"/>
      <c r="O903" s="13"/>
      <c r="P903" s="13"/>
      <c r="Q903" s="13"/>
      <c r="R903" s="13"/>
      <c r="S903" s="13"/>
      <c r="T903" s="13"/>
      <c r="U903" s="13"/>
      <c r="V903" s="13"/>
      <c r="W903" s="13"/>
    </row>
    <row r="904" ht="15.75" customHeight="1" spans="1:23">
      <c r="A904" s="13"/>
      <c r="B904" s="13"/>
      <c r="C904" s="13"/>
      <c r="D904" s="13"/>
      <c r="E904" s="13"/>
      <c r="F904" s="13"/>
      <c r="G904" s="13"/>
      <c r="H904" s="13"/>
      <c r="I904" s="13"/>
      <c r="J904" s="13"/>
      <c r="K904" s="13"/>
      <c r="L904" s="13"/>
      <c r="M904" s="13"/>
      <c r="N904" s="13"/>
      <c r="O904" s="13"/>
      <c r="P904" s="13"/>
      <c r="Q904" s="13"/>
      <c r="R904" s="13"/>
      <c r="S904" s="13"/>
      <c r="T904" s="13"/>
      <c r="U904" s="13"/>
      <c r="V904" s="13"/>
      <c r="W904" s="13"/>
    </row>
    <row r="905" ht="15.75" customHeight="1" spans="1:23">
      <c r="A905" s="13"/>
      <c r="B905" s="13"/>
      <c r="C905" s="13"/>
      <c r="D905" s="13"/>
      <c r="E905" s="13"/>
      <c r="F905" s="13"/>
      <c r="G905" s="13"/>
      <c r="H905" s="13"/>
      <c r="I905" s="13"/>
      <c r="J905" s="13"/>
      <c r="K905" s="13"/>
      <c r="L905" s="13"/>
      <c r="M905" s="13"/>
      <c r="N905" s="13"/>
      <c r="O905" s="13"/>
      <c r="P905" s="13"/>
      <c r="Q905" s="13"/>
      <c r="R905" s="13"/>
      <c r="S905" s="13"/>
      <c r="T905" s="13"/>
      <c r="U905" s="13"/>
      <c r="V905" s="13"/>
      <c r="W905" s="13"/>
    </row>
    <row r="906" ht="15.75" customHeight="1" spans="1:23">
      <c r="A906" s="13"/>
      <c r="B906" s="13"/>
      <c r="C906" s="13"/>
      <c r="D906" s="13"/>
      <c r="E906" s="13"/>
      <c r="F906" s="13"/>
      <c r="G906" s="13"/>
      <c r="H906" s="13"/>
      <c r="I906" s="13"/>
      <c r="J906" s="13"/>
      <c r="K906" s="13"/>
      <c r="L906" s="13"/>
      <c r="M906" s="13"/>
      <c r="N906" s="13"/>
      <c r="O906" s="13"/>
      <c r="P906" s="13"/>
      <c r="Q906" s="13"/>
      <c r="R906" s="13"/>
      <c r="S906" s="13"/>
      <c r="T906" s="13"/>
      <c r="U906" s="13"/>
      <c r="V906" s="13"/>
      <c r="W906" s="13"/>
    </row>
    <row r="907" ht="15.75" customHeight="1" spans="1:23">
      <c r="A907" s="13"/>
      <c r="B907" s="13"/>
      <c r="C907" s="13"/>
      <c r="D907" s="13"/>
      <c r="E907" s="13"/>
      <c r="F907" s="13"/>
      <c r="G907" s="13"/>
      <c r="H907" s="13"/>
      <c r="I907" s="13"/>
      <c r="J907" s="13"/>
      <c r="K907" s="13"/>
      <c r="L907" s="13"/>
      <c r="M907" s="13"/>
      <c r="N907" s="13"/>
      <c r="O907" s="13"/>
      <c r="P907" s="13"/>
      <c r="Q907" s="13"/>
      <c r="R907" s="13"/>
      <c r="S907" s="13"/>
      <c r="T907" s="13"/>
      <c r="U907" s="13"/>
      <c r="V907" s="13"/>
      <c r="W907" s="13"/>
    </row>
    <row r="908" ht="15.75" customHeight="1" spans="1:23">
      <c r="A908" s="13"/>
      <c r="B908" s="13"/>
      <c r="C908" s="13"/>
      <c r="D908" s="13"/>
      <c r="E908" s="13"/>
      <c r="F908" s="13"/>
      <c r="G908" s="13"/>
      <c r="H908" s="13"/>
      <c r="I908" s="13"/>
      <c r="J908" s="13"/>
      <c r="K908" s="13"/>
      <c r="L908" s="13"/>
      <c r="M908" s="13"/>
      <c r="N908" s="13"/>
      <c r="O908" s="13"/>
      <c r="P908" s="13"/>
      <c r="Q908" s="13"/>
      <c r="R908" s="13"/>
      <c r="S908" s="13"/>
      <c r="T908" s="13"/>
      <c r="U908" s="13"/>
      <c r="V908" s="13"/>
      <c r="W908" s="13"/>
    </row>
    <row r="909" ht="15.75" customHeight="1" spans="1:23">
      <c r="A909" s="13"/>
      <c r="B909" s="13"/>
      <c r="C909" s="13"/>
      <c r="D909" s="13"/>
      <c r="E909" s="13"/>
      <c r="F909" s="13"/>
      <c r="G909" s="13"/>
      <c r="H909" s="13"/>
      <c r="I909" s="13"/>
      <c r="J909" s="13"/>
      <c r="K909" s="13"/>
      <c r="L909" s="13"/>
      <c r="M909" s="13"/>
      <c r="N909" s="13"/>
      <c r="O909" s="13"/>
      <c r="P909" s="13"/>
      <c r="Q909" s="13"/>
      <c r="R909" s="13"/>
      <c r="S909" s="13"/>
      <c r="T909" s="13"/>
      <c r="U909" s="13"/>
      <c r="V909" s="13"/>
      <c r="W909" s="13"/>
    </row>
    <row r="910" ht="15.75" customHeight="1" spans="1:23">
      <c r="A910" s="13"/>
      <c r="B910" s="13"/>
      <c r="C910" s="13"/>
      <c r="D910" s="13"/>
      <c r="E910" s="13"/>
      <c r="F910" s="13"/>
      <c r="G910" s="13"/>
      <c r="H910" s="13"/>
      <c r="I910" s="13"/>
      <c r="J910" s="13"/>
      <c r="K910" s="13"/>
      <c r="L910" s="13"/>
      <c r="M910" s="13"/>
      <c r="N910" s="13"/>
      <c r="O910" s="13"/>
      <c r="P910" s="13"/>
      <c r="Q910" s="13"/>
      <c r="R910" s="13"/>
      <c r="S910" s="13"/>
      <c r="T910" s="13"/>
      <c r="U910" s="13"/>
      <c r="V910" s="13"/>
      <c r="W910" s="13"/>
    </row>
    <row r="911" ht="15.75" customHeight="1" spans="1:23">
      <c r="A911" s="13"/>
      <c r="B911" s="13"/>
      <c r="C911" s="13"/>
      <c r="D911" s="13"/>
      <c r="E911" s="13"/>
      <c r="F911" s="13"/>
      <c r="G911" s="13"/>
      <c r="H911" s="13"/>
      <c r="I911" s="13"/>
      <c r="J911" s="13"/>
      <c r="K911" s="13"/>
      <c r="L911" s="13"/>
      <c r="M911" s="13"/>
      <c r="N911" s="13"/>
      <c r="O911" s="13"/>
      <c r="P911" s="13"/>
      <c r="Q911" s="13"/>
      <c r="R911" s="13"/>
      <c r="S911" s="13"/>
      <c r="T911" s="13"/>
      <c r="U911" s="13"/>
      <c r="V911" s="13"/>
      <c r="W911" s="13"/>
    </row>
    <row r="912" ht="15.75" customHeight="1" spans="1:23">
      <c r="A912" s="13"/>
      <c r="B912" s="13"/>
      <c r="C912" s="13"/>
      <c r="D912" s="13"/>
      <c r="E912" s="13"/>
      <c r="F912" s="13"/>
      <c r="G912" s="13"/>
      <c r="H912" s="13"/>
      <c r="I912" s="13"/>
      <c r="J912" s="13"/>
      <c r="K912" s="13"/>
      <c r="L912" s="13"/>
      <c r="M912" s="13"/>
      <c r="N912" s="13"/>
      <c r="O912" s="13"/>
      <c r="P912" s="13"/>
      <c r="Q912" s="13"/>
      <c r="R912" s="13"/>
      <c r="S912" s="13"/>
      <c r="T912" s="13"/>
      <c r="U912" s="13"/>
      <c r="V912" s="13"/>
      <c r="W912" s="13"/>
    </row>
    <row r="913" ht="15.75" customHeight="1" spans="1:23">
      <c r="A913" s="13"/>
      <c r="B913" s="13"/>
      <c r="C913" s="13"/>
      <c r="D913" s="13"/>
      <c r="E913" s="13"/>
      <c r="F913" s="13"/>
      <c r="G913" s="13"/>
      <c r="H913" s="13"/>
      <c r="I913" s="13"/>
      <c r="J913" s="13"/>
      <c r="K913" s="13"/>
      <c r="L913" s="13"/>
      <c r="M913" s="13"/>
      <c r="N913" s="13"/>
      <c r="O913" s="13"/>
      <c r="P913" s="13"/>
      <c r="Q913" s="13"/>
      <c r="R913" s="13"/>
      <c r="S913" s="13"/>
      <c r="T913" s="13"/>
      <c r="U913" s="13"/>
      <c r="V913" s="13"/>
      <c r="W913" s="13"/>
    </row>
    <row r="914" ht="15.75" customHeight="1" spans="1:23">
      <c r="A914" s="13"/>
      <c r="B914" s="13"/>
      <c r="C914" s="13"/>
      <c r="D914" s="13"/>
      <c r="E914" s="13"/>
      <c r="F914" s="13"/>
      <c r="G914" s="13"/>
      <c r="H914" s="13"/>
      <c r="I914" s="13"/>
      <c r="J914" s="13"/>
      <c r="K914" s="13"/>
      <c r="L914" s="13"/>
      <c r="M914" s="13"/>
      <c r="N914" s="13"/>
      <c r="O914" s="13"/>
      <c r="P914" s="13"/>
      <c r="Q914" s="13"/>
      <c r="R914" s="13"/>
      <c r="S914" s="13"/>
      <c r="T914" s="13"/>
      <c r="U914" s="13"/>
      <c r="V914" s="13"/>
      <c r="W914" s="13"/>
    </row>
    <row r="915" ht="15.75" customHeight="1" spans="1:23">
      <c r="A915" s="13"/>
      <c r="B915" s="13"/>
      <c r="C915" s="13"/>
      <c r="D915" s="13"/>
      <c r="E915" s="13"/>
      <c r="F915" s="13"/>
      <c r="G915" s="13"/>
      <c r="H915" s="13"/>
      <c r="I915" s="13"/>
      <c r="J915" s="13"/>
      <c r="K915" s="13"/>
      <c r="L915" s="13"/>
      <c r="M915" s="13"/>
      <c r="N915" s="13"/>
      <c r="O915" s="13"/>
      <c r="P915" s="13"/>
      <c r="Q915" s="13"/>
      <c r="R915" s="13"/>
      <c r="S915" s="13"/>
      <c r="T915" s="13"/>
      <c r="U915" s="13"/>
      <c r="V915" s="13"/>
      <c r="W915" s="13"/>
    </row>
    <row r="916" ht="15.75" customHeight="1" spans="1:23">
      <c r="A916" s="13"/>
      <c r="B916" s="13"/>
      <c r="C916" s="13"/>
      <c r="D916" s="13"/>
      <c r="E916" s="13"/>
      <c r="F916" s="13"/>
      <c r="G916" s="13"/>
      <c r="H916" s="13"/>
      <c r="I916" s="13"/>
      <c r="J916" s="13"/>
      <c r="K916" s="13"/>
      <c r="L916" s="13"/>
      <c r="M916" s="13"/>
      <c r="N916" s="13"/>
      <c r="O916" s="13"/>
      <c r="P916" s="13"/>
      <c r="Q916" s="13"/>
      <c r="R916" s="13"/>
      <c r="S916" s="13"/>
      <c r="T916" s="13"/>
      <c r="U916" s="13"/>
      <c r="V916" s="13"/>
      <c r="W916" s="13"/>
    </row>
    <row r="917" ht="15.75" customHeight="1" spans="1:23">
      <c r="A917" s="13"/>
      <c r="B917" s="13"/>
      <c r="C917" s="13"/>
      <c r="D917" s="13"/>
      <c r="E917" s="13"/>
      <c r="F917" s="13"/>
      <c r="G917" s="13"/>
      <c r="H917" s="13"/>
      <c r="I917" s="13"/>
      <c r="J917" s="13"/>
      <c r="K917" s="13"/>
      <c r="L917" s="13"/>
      <c r="M917" s="13"/>
      <c r="N917" s="13"/>
      <c r="O917" s="13"/>
      <c r="P917" s="13"/>
      <c r="Q917" s="13"/>
      <c r="R917" s="13"/>
      <c r="S917" s="13"/>
      <c r="T917" s="13"/>
      <c r="U917" s="13"/>
      <c r="V917" s="13"/>
      <c r="W917" s="13"/>
    </row>
    <row r="918" ht="15.75" customHeight="1" spans="1:23">
      <c r="A918" s="13"/>
      <c r="B918" s="13"/>
      <c r="C918" s="13"/>
      <c r="D918" s="13"/>
      <c r="E918" s="13"/>
      <c r="F918" s="13"/>
      <c r="G918" s="13"/>
      <c r="H918" s="13"/>
      <c r="I918" s="13"/>
      <c r="J918" s="13"/>
      <c r="K918" s="13"/>
      <c r="L918" s="13"/>
      <c r="M918" s="13"/>
      <c r="N918" s="13"/>
      <c r="O918" s="13"/>
      <c r="P918" s="13"/>
      <c r="Q918" s="13"/>
      <c r="R918" s="13"/>
      <c r="S918" s="13"/>
      <c r="T918" s="13"/>
      <c r="U918" s="13"/>
      <c r="V918" s="13"/>
      <c r="W918" s="13"/>
    </row>
    <row r="919" ht="15.75" customHeight="1" spans="1:23">
      <c r="A919" s="13"/>
      <c r="B919" s="13"/>
      <c r="C919" s="13"/>
      <c r="D919" s="13"/>
      <c r="E919" s="13"/>
      <c r="F919" s="13"/>
      <c r="G919" s="13"/>
      <c r="H919" s="13"/>
      <c r="I919" s="13"/>
      <c r="J919" s="13"/>
      <c r="K919" s="13"/>
      <c r="L919" s="13"/>
      <c r="M919" s="13"/>
      <c r="N919" s="13"/>
      <c r="O919" s="13"/>
      <c r="P919" s="13"/>
      <c r="Q919" s="13"/>
      <c r="R919" s="13"/>
      <c r="S919" s="13"/>
      <c r="T919" s="13"/>
      <c r="U919" s="13"/>
      <c r="V919" s="13"/>
      <c r="W919" s="13"/>
    </row>
    <row r="920" ht="15.75" customHeight="1" spans="1:23">
      <c r="A920" s="13"/>
      <c r="B920" s="13"/>
      <c r="C920" s="13"/>
      <c r="D920" s="13"/>
      <c r="E920" s="13"/>
      <c r="F920" s="13"/>
      <c r="G920" s="13"/>
      <c r="H920" s="13"/>
      <c r="I920" s="13"/>
      <c r="J920" s="13"/>
      <c r="K920" s="13"/>
      <c r="L920" s="13"/>
      <c r="M920" s="13"/>
      <c r="N920" s="13"/>
      <c r="O920" s="13"/>
      <c r="P920" s="13"/>
      <c r="Q920" s="13"/>
      <c r="R920" s="13"/>
      <c r="S920" s="13"/>
      <c r="T920" s="13"/>
      <c r="U920" s="13"/>
      <c r="V920" s="13"/>
      <c r="W920" s="13"/>
    </row>
    <row r="921" ht="15.75" customHeight="1" spans="1:23">
      <c r="A921" s="13"/>
      <c r="B921" s="13"/>
      <c r="C921" s="13"/>
      <c r="D921" s="13"/>
      <c r="E921" s="13"/>
      <c r="F921" s="13"/>
      <c r="G921" s="13"/>
      <c r="H921" s="13"/>
      <c r="I921" s="13"/>
      <c r="J921" s="13"/>
      <c r="K921" s="13"/>
      <c r="L921" s="13"/>
      <c r="M921" s="13"/>
      <c r="N921" s="13"/>
      <c r="O921" s="13"/>
      <c r="P921" s="13"/>
      <c r="Q921" s="13"/>
      <c r="R921" s="13"/>
      <c r="S921" s="13"/>
      <c r="T921" s="13"/>
      <c r="U921" s="13"/>
      <c r="V921" s="13"/>
      <c r="W921" s="13"/>
    </row>
    <row r="922" ht="15.75" customHeight="1" spans="1:23">
      <c r="A922" s="13"/>
      <c r="B922" s="13"/>
      <c r="C922" s="13"/>
      <c r="D922" s="13"/>
      <c r="E922" s="13"/>
      <c r="F922" s="13"/>
      <c r="G922" s="13"/>
      <c r="H922" s="13"/>
      <c r="I922" s="13"/>
      <c r="J922" s="13"/>
      <c r="K922" s="13"/>
      <c r="L922" s="13"/>
      <c r="M922" s="13"/>
      <c r="N922" s="13"/>
      <c r="O922" s="13"/>
      <c r="P922" s="13"/>
      <c r="Q922" s="13"/>
      <c r="R922" s="13"/>
      <c r="S922" s="13"/>
      <c r="T922" s="13"/>
      <c r="U922" s="13"/>
      <c r="V922" s="13"/>
      <c r="W922" s="13"/>
    </row>
    <row r="923" ht="15.75" customHeight="1" spans="1:23">
      <c r="A923" s="13"/>
      <c r="B923" s="13"/>
      <c r="C923" s="13"/>
      <c r="D923" s="13"/>
      <c r="E923" s="13"/>
      <c r="F923" s="13"/>
      <c r="G923" s="13"/>
      <c r="H923" s="13"/>
      <c r="I923" s="13"/>
      <c r="J923" s="13"/>
      <c r="K923" s="13"/>
      <c r="L923" s="13"/>
      <c r="M923" s="13"/>
      <c r="N923" s="13"/>
      <c r="O923" s="13"/>
      <c r="P923" s="13"/>
      <c r="Q923" s="13"/>
      <c r="R923" s="13"/>
      <c r="S923" s="13"/>
      <c r="T923" s="13"/>
      <c r="U923" s="13"/>
      <c r="V923" s="13"/>
      <c r="W923" s="13"/>
    </row>
    <row r="924" ht="15.75" customHeight="1" spans="1:23">
      <c r="A924" s="13"/>
      <c r="B924" s="13"/>
      <c r="C924" s="13"/>
      <c r="D924" s="13"/>
      <c r="E924" s="13"/>
      <c r="F924" s="13"/>
      <c r="G924" s="13"/>
      <c r="H924" s="13"/>
      <c r="I924" s="13"/>
      <c r="J924" s="13"/>
      <c r="K924" s="13"/>
      <c r="L924" s="13"/>
      <c r="M924" s="13"/>
      <c r="N924" s="13"/>
      <c r="O924" s="13"/>
      <c r="P924" s="13"/>
      <c r="Q924" s="13"/>
      <c r="R924" s="13"/>
      <c r="S924" s="13"/>
      <c r="T924" s="13"/>
      <c r="U924" s="13"/>
      <c r="V924" s="13"/>
      <c r="W924" s="13"/>
    </row>
    <row r="925" ht="15.75" customHeight="1" spans="1:23">
      <c r="A925" s="13"/>
      <c r="B925" s="13"/>
      <c r="C925" s="13"/>
      <c r="D925" s="13"/>
      <c r="E925" s="13"/>
      <c r="F925" s="13"/>
      <c r="G925" s="13"/>
      <c r="H925" s="13"/>
      <c r="I925" s="13"/>
      <c r="J925" s="13"/>
      <c r="K925" s="13"/>
      <c r="L925" s="13"/>
      <c r="M925" s="13"/>
      <c r="N925" s="13"/>
      <c r="O925" s="13"/>
      <c r="P925" s="13"/>
      <c r="Q925" s="13"/>
      <c r="R925" s="13"/>
      <c r="S925" s="13"/>
      <c r="T925" s="13"/>
      <c r="U925" s="13"/>
      <c r="V925" s="13"/>
      <c r="W925" s="13"/>
    </row>
    <row r="926" ht="15.75" customHeight="1" spans="1:23">
      <c r="A926" s="13"/>
      <c r="B926" s="13"/>
      <c r="C926" s="13"/>
      <c r="D926" s="13"/>
      <c r="E926" s="13"/>
      <c r="F926" s="13"/>
      <c r="G926" s="13"/>
      <c r="H926" s="13"/>
      <c r="I926" s="13"/>
      <c r="J926" s="13"/>
      <c r="K926" s="13"/>
      <c r="L926" s="13"/>
      <c r="M926" s="13"/>
      <c r="N926" s="13"/>
      <c r="O926" s="13"/>
      <c r="P926" s="13"/>
      <c r="Q926" s="13"/>
      <c r="R926" s="13"/>
      <c r="S926" s="13"/>
      <c r="T926" s="13"/>
      <c r="U926" s="13"/>
      <c r="V926" s="13"/>
      <c r="W926" s="13"/>
    </row>
    <row r="927" ht="15.75" customHeight="1" spans="1:23">
      <c r="A927" s="13"/>
      <c r="B927" s="13"/>
      <c r="C927" s="13"/>
      <c r="D927" s="13"/>
      <c r="E927" s="13"/>
      <c r="F927" s="13"/>
      <c r="G927" s="13"/>
      <c r="H927" s="13"/>
      <c r="I927" s="13"/>
      <c r="J927" s="13"/>
      <c r="K927" s="13"/>
      <c r="L927" s="13"/>
      <c r="M927" s="13"/>
      <c r="N927" s="13"/>
      <c r="O927" s="13"/>
      <c r="P927" s="13"/>
      <c r="Q927" s="13"/>
      <c r="R927" s="13"/>
      <c r="S927" s="13"/>
      <c r="T927" s="13"/>
      <c r="U927" s="13"/>
      <c r="V927" s="13"/>
      <c r="W927" s="13"/>
    </row>
    <row r="928" ht="15.75" customHeight="1" spans="1:23">
      <c r="A928" s="13"/>
      <c r="B928" s="13"/>
      <c r="C928" s="13"/>
      <c r="D928" s="13"/>
      <c r="E928" s="13"/>
      <c r="F928" s="13"/>
      <c r="G928" s="13"/>
      <c r="H928" s="13"/>
      <c r="I928" s="13"/>
      <c r="J928" s="13"/>
      <c r="K928" s="13"/>
      <c r="L928" s="13"/>
      <c r="M928" s="13"/>
      <c r="N928" s="13"/>
      <c r="O928" s="13"/>
      <c r="P928" s="13"/>
      <c r="Q928" s="13"/>
      <c r="R928" s="13"/>
      <c r="S928" s="13"/>
      <c r="T928" s="13"/>
      <c r="U928" s="13"/>
      <c r="V928" s="13"/>
      <c r="W928" s="13"/>
    </row>
    <row r="929" ht="15.75" customHeight="1" spans="1:23">
      <c r="A929" s="13"/>
      <c r="B929" s="13"/>
      <c r="C929" s="13"/>
      <c r="D929" s="13"/>
      <c r="E929" s="13"/>
      <c r="F929" s="13"/>
      <c r="G929" s="13"/>
      <c r="H929" s="13"/>
      <c r="I929" s="13"/>
      <c r="J929" s="13"/>
      <c r="K929" s="13"/>
      <c r="L929" s="13"/>
      <c r="M929" s="13"/>
      <c r="N929" s="13"/>
      <c r="O929" s="13"/>
      <c r="P929" s="13"/>
      <c r="Q929" s="13"/>
      <c r="R929" s="13"/>
      <c r="S929" s="13"/>
      <c r="T929" s="13"/>
      <c r="U929" s="13"/>
      <c r="V929" s="13"/>
      <c r="W929" s="13"/>
    </row>
    <row r="930" ht="15.75" customHeight="1" spans="1:23">
      <c r="A930" s="13"/>
      <c r="B930" s="13"/>
      <c r="C930" s="13"/>
      <c r="D930" s="13"/>
      <c r="E930" s="13"/>
      <c r="F930" s="13"/>
      <c r="G930" s="13"/>
      <c r="H930" s="13"/>
      <c r="I930" s="13"/>
      <c r="J930" s="13"/>
      <c r="K930" s="13"/>
      <c r="L930" s="13"/>
      <c r="M930" s="13"/>
      <c r="N930" s="13"/>
      <c r="O930" s="13"/>
      <c r="P930" s="13"/>
      <c r="Q930" s="13"/>
      <c r="R930" s="13"/>
      <c r="S930" s="13"/>
      <c r="T930" s="13"/>
      <c r="U930" s="13"/>
      <c r="V930" s="13"/>
      <c r="W930" s="13"/>
    </row>
    <row r="931" ht="15.75" customHeight="1" spans="1:23">
      <c r="A931" s="13"/>
      <c r="B931" s="13"/>
      <c r="C931" s="13"/>
      <c r="D931" s="13"/>
      <c r="E931" s="13"/>
      <c r="F931" s="13"/>
      <c r="G931" s="13"/>
      <c r="H931" s="13"/>
      <c r="I931" s="13"/>
      <c r="J931" s="13"/>
      <c r="K931" s="13"/>
      <c r="L931" s="13"/>
      <c r="M931" s="13"/>
      <c r="N931" s="13"/>
      <c r="O931" s="13"/>
      <c r="P931" s="13"/>
      <c r="Q931" s="13"/>
      <c r="R931" s="13"/>
      <c r="S931" s="13"/>
      <c r="T931" s="13"/>
      <c r="U931" s="13"/>
      <c r="V931" s="13"/>
      <c r="W931" s="13"/>
    </row>
    <row r="932" ht="15.75" customHeight="1" spans="1:23">
      <c r="A932" s="13"/>
      <c r="B932" s="13"/>
      <c r="C932" s="13"/>
      <c r="D932" s="13"/>
      <c r="E932" s="13"/>
      <c r="F932" s="13"/>
      <c r="G932" s="13"/>
      <c r="H932" s="13"/>
      <c r="I932" s="13"/>
      <c r="J932" s="13"/>
      <c r="K932" s="13"/>
      <c r="L932" s="13"/>
      <c r="M932" s="13"/>
      <c r="N932" s="13"/>
      <c r="O932" s="13"/>
      <c r="P932" s="13"/>
      <c r="Q932" s="13"/>
      <c r="R932" s="13"/>
      <c r="S932" s="13"/>
      <c r="T932" s="13"/>
      <c r="U932" s="13"/>
      <c r="V932" s="13"/>
      <c r="W932" s="13"/>
    </row>
    <row r="933" ht="15.75" customHeight="1" spans="1:23">
      <c r="A933" s="13"/>
      <c r="B933" s="13"/>
      <c r="C933" s="13"/>
      <c r="D933" s="13"/>
      <c r="E933" s="13"/>
      <c r="F933" s="13"/>
      <c r="G933" s="13"/>
      <c r="H933" s="13"/>
      <c r="I933" s="13"/>
      <c r="J933" s="13"/>
      <c r="K933" s="13"/>
      <c r="L933" s="13"/>
      <c r="M933" s="13"/>
      <c r="N933" s="13"/>
      <c r="O933" s="13"/>
      <c r="P933" s="13"/>
      <c r="Q933" s="13"/>
      <c r="R933" s="13"/>
      <c r="S933" s="13"/>
      <c r="T933" s="13"/>
      <c r="U933" s="13"/>
      <c r="V933" s="13"/>
      <c r="W933" s="13"/>
    </row>
    <row r="934" ht="15.75" customHeight="1" spans="1:23">
      <c r="A934" s="13"/>
      <c r="B934" s="13"/>
      <c r="C934" s="13"/>
      <c r="D934" s="13"/>
      <c r="E934" s="13"/>
      <c r="F934" s="13"/>
      <c r="G934" s="13"/>
      <c r="H934" s="13"/>
      <c r="I934" s="13"/>
      <c r="J934" s="13"/>
      <c r="K934" s="13"/>
      <c r="L934" s="13"/>
      <c r="M934" s="13"/>
      <c r="N934" s="13"/>
      <c r="O934" s="13"/>
      <c r="P934" s="13"/>
      <c r="Q934" s="13"/>
      <c r="R934" s="13"/>
      <c r="S934" s="13"/>
      <c r="T934" s="13"/>
      <c r="U934" s="13"/>
      <c r="V934" s="13"/>
      <c r="W934" s="13"/>
    </row>
    <row r="935" ht="15.75" customHeight="1" spans="1:23">
      <c r="A935" s="13"/>
      <c r="B935" s="13"/>
      <c r="C935" s="13"/>
      <c r="D935" s="13"/>
      <c r="E935" s="13"/>
      <c r="F935" s="13"/>
      <c r="G935" s="13"/>
      <c r="H935" s="13"/>
      <c r="I935" s="13"/>
      <c r="J935" s="13"/>
      <c r="K935" s="13"/>
      <c r="L935" s="13"/>
      <c r="M935" s="13"/>
      <c r="N935" s="13"/>
      <c r="O935" s="13"/>
      <c r="P935" s="13"/>
      <c r="Q935" s="13"/>
      <c r="R935" s="13"/>
      <c r="S935" s="13"/>
      <c r="T935" s="13"/>
      <c r="U935" s="13"/>
      <c r="V935" s="13"/>
      <c r="W935" s="13"/>
    </row>
    <row r="936" ht="15.75" customHeight="1" spans="1:23">
      <c r="A936" s="13"/>
      <c r="B936" s="13"/>
      <c r="C936" s="13"/>
      <c r="D936" s="13"/>
      <c r="E936" s="13"/>
      <c r="F936" s="13"/>
      <c r="G936" s="13"/>
      <c r="H936" s="13"/>
      <c r="I936" s="13"/>
      <c r="J936" s="13"/>
      <c r="K936" s="13"/>
      <c r="L936" s="13"/>
      <c r="M936" s="13"/>
      <c r="N936" s="13"/>
      <c r="O936" s="13"/>
      <c r="P936" s="13"/>
      <c r="Q936" s="13"/>
      <c r="R936" s="13"/>
      <c r="S936" s="13"/>
      <c r="T936" s="13"/>
      <c r="U936" s="13"/>
      <c r="V936" s="13"/>
      <c r="W936" s="13"/>
    </row>
    <row r="937" ht="15.75" customHeight="1" spans="1:23">
      <c r="A937" s="13"/>
      <c r="B937" s="13"/>
      <c r="C937" s="13"/>
      <c r="D937" s="13"/>
      <c r="E937" s="13"/>
      <c r="F937" s="13"/>
      <c r="G937" s="13"/>
      <c r="H937" s="13"/>
      <c r="I937" s="13"/>
      <c r="J937" s="13"/>
      <c r="K937" s="13"/>
      <c r="L937" s="13"/>
      <c r="M937" s="13"/>
      <c r="N937" s="13"/>
      <c r="O937" s="13"/>
      <c r="P937" s="13"/>
      <c r="Q937" s="13"/>
      <c r="R937" s="13"/>
      <c r="S937" s="13"/>
      <c r="T937" s="13"/>
      <c r="U937" s="13"/>
      <c r="V937" s="13"/>
      <c r="W937" s="13"/>
    </row>
    <row r="938" ht="15.75" customHeight="1" spans="1:23">
      <c r="A938" s="13"/>
      <c r="B938" s="13"/>
      <c r="C938" s="13"/>
      <c r="D938" s="13"/>
      <c r="E938" s="13"/>
      <c r="F938" s="13"/>
      <c r="G938" s="13"/>
      <c r="H938" s="13"/>
      <c r="I938" s="13"/>
      <c r="J938" s="13"/>
      <c r="K938" s="13"/>
      <c r="L938" s="13"/>
      <c r="M938" s="13"/>
      <c r="N938" s="13"/>
      <c r="O938" s="13"/>
      <c r="P938" s="13"/>
      <c r="Q938" s="13"/>
      <c r="R938" s="13"/>
      <c r="S938" s="13"/>
      <c r="T938" s="13"/>
      <c r="U938" s="13"/>
      <c r="V938" s="13"/>
      <c r="W938" s="13"/>
    </row>
    <row r="939" ht="15.75" customHeight="1" spans="1:23">
      <c r="A939" s="13"/>
      <c r="B939" s="13"/>
      <c r="C939" s="13"/>
      <c r="D939" s="13"/>
      <c r="E939" s="13"/>
      <c r="F939" s="13"/>
      <c r="G939" s="13"/>
      <c r="H939" s="13"/>
      <c r="I939" s="13"/>
      <c r="J939" s="13"/>
      <c r="K939" s="13"/>
      <c r="L939" s="13"/>
      <c r="M939" s="13"/>
      <c r="N939" s="13"/>
      <c r="O939" s="13"/>
      <c r="P939" s="13"/>
      <c r="Q939" s="13"/>
      <c r="R939" s="13"/>
      <c r="S939" s="13"/>
      <c r="T939" s="13"/>
      <c r="U939" s="13"/>
      <c r="V939" s="13"/>
      <c r="W939" s="13"/>
    </row>
    <row r="940" ht="15.75" customHeight="1" spans="1:23">
      <c r="A940" s="13"/>
      <c r="B940" s="13"/>
      <c r="C940" s="13"/>
      <c r="D940" s="13"/>
      <c r="E940" s="13"/>
      <c r="F940" s="13"/>
      <c r="G940" s="13"/>
      <c r="H940" s="13"/>
      <c r="I940" s="13"/>
      <c r="J940" s="13"/>
      <c r="K940" s="13"/>
      <c r="L940" s="13"/>
      <c r="M940" s="13"/>
      <c r="N940" s="13"/>
      <c r="O940" s="13"/>
      <c r="P940" s="13"/>
      <c r="Q940" s="13"/>
      <c r="R940" s="13"/>
      <c r="S940" s="13"/>
      <c r="T940" s="13"/>
      <c r="U940" s="13"/>
      <c r="V940" s="13"/>
      <c r="W940" s="13"/>
    </row>
    <row r="941" ht="15.75" customHeight="1" spans="1:23">
      <c r="A941" s="13"/>
      <c r="B941" s="13"/>
      <c r="C941" s="13"/>
      <c r="D941" s="13"/>
      <c r="E941" s="13"/>
      <c r="F941" s="13"/>
      <c r="G941" s="13"/>
      <c r="H941" s="13"/>
      <c r="I941" s="13"/>
      <c r="J941" s="13"/>
      <c r="K941" s="13"/>
      <c r="L941" s="13"/>
      <c r="M941" s="13"/>
      <c r="N941" s="13"/>
      <c r="O941" s="13"/>
      <c r="P941" s="13"/>
      <c r="Q941" s="13"/>
      <c r="R941" s="13"/>
      <c r="S941" s="13"/>
      <c r="T941" s="13"/>
      <c r="U941" s="13"/>
      <c r="V941" s="13"/>
      <c r="W941" s="13"/>
    </row>
    <row r="942" ht="15.75" customHeight="1" spans="1:23">
      <c r="A942" s="13"/>
      <c r="B942" s="13"/>
      <c r="C942" s="13"/>
      <c r="D942" s="13"/>
      <c r="E942" s="13"/>
      <c r="F942" s="13"/>
      <c r="G942" s="13"/>
      <c r="H942" s="13"/>
      <c r="I942" s="13"/>
      <c r="J942" s="13"/>
      <c r="K942" s="13"/>
      <c r="L942" s="13"/>
      <c r="M942" s="13"/>
      <c r="N942" s="13"/>
      <c r="O942" s="13"/>
      <c r="P942" s="13"/>
      <c r="Q942" s="13"/>
      <c r="R942" s="13"/>
      <c r="S942" s="13"/>
      <c r="T942" s="13"/>
      <c r="U942" s="13"/>
      <c r="V942" s="13"/>
      <c r="W942" s="13"/>
    </row>
    <row r="943" ht="15.75" customHeight="1" spans="1:23">
      <c r="A943" s="13"/>
      <c r="B943" s="13"/>
      <c r="C943" s="13"/>
      <c r="D943" s="13"/>
      <c r="E943" s="13"/>
      <c r="F943" s="13"/>
      <c r="G943" s="13"/>
      <c r="H943" s="13"/>
      <c r="I943" s="13"/>
      <c r="J943" s="13"/>
      <c r="K943" s="13"/>
      <c r="L943" s="13"/>
      <c r="M943" s="13"/>
      <c r="N943" s="13"/>
      <c r="O943" s="13"/>
      <c r="P943" s="13"/>
      <c r="Q943" s="13"/>
      <c r="R943" s="13"/>
      <c r="S943" s="13"/>
      <c r="T943" s="13"/>
      <c r="U943" s="13"/>
      <c r="V943" s="13"/>
      <c r="W943" s="13"/>
    </row>
    <row r="944" ht="15.75" customHeight="1" spans="1:23">
      <c r="A944" s="13"/>
      <c r="B944" s="13"/>
      <c r="C944" s="13"/>
      <c r="D944" s="13"/>
      <c r="E944" s="13"/>
      <c r="F944" s="13"/>
      <c r="G944" s="13"/>
      <c r="H944" s="13"/>
      <c r="I944" s="13"/>
      <c r="J944" s="13"/>
      <c r="K944" s="13"/>
      <c r="L944" s="13"/>
      <c r="M944" s="13"/>
      <c r="N944" s="13"/>
      <c r="O944" s="13"/>
      <c r="P944" s="13"/>
      <c r="Q944" s="13"/>
      <c r="R944" s="13"/>
      <c r="S944" s="13"/>
      <c r="T944" s="13"/>
      <c r="U944" s="13"/>
      <c r="V944" s="13"/>
      <c r="W944" s="13"/>
    </row>
    <row r="945" ht="15.75" customHeight="1" spans="1:23">
      <c r="A945" s="13"/>
      <c r="B945" s="13"/>
      <c r="C945" s="13"/>
      <c r="D945" s="13"/>
      <c r="E945" s="13"/>
      <c r="F945" s="13"/>
      <c r="G945" s="13"/>
      <c r="H945" s="13"/>
      <c r="I945" s="13"/>
      <c r="J945" s="13"/>
      <c r="K945" s="13"/>
      <c r="L945" s="13"/>
      <c r="M945" s="13"/>
      <c r="N945" s="13"/>
      <c r="O945" s="13"/>
      <c r="P945" s="13"/>
      <c r="Q945" s="13"/>
      <c r="R945" s="13"/>
      <c r="S945" s="13"/>
      <c r="T945" s="13"/>
      <c r="U945" s="13"/>
      <c r="V945" s="13"/>
      <c r="W945" s="13"/>
    </row>
    <row r="946" ht="15.75" customHeight="1" spans="1:23">
      <c r="A946" s="13"/>
      <c r="B946" s="13"/>
      <c r="C946" s="13"/>
      <c r="D946" s="13"/>
      <c r="E946" s="13"/>
      <c r="F946" s="13"/>
      <c r="G946" s="13"/>
      <c r="H946" s="13"/>
      <c r="I946" s="13"/>
      <c r="J946" s="13"/>
      <c r="K946" s="13"/>
      <c r="L946" s="13"/>
      <c r="M946" s="13"/>
      <c r="N946" s="13"/>
      <c r="O946" s="13"/>
      <c r="P946" s="13"/>
      <c r="Q946" s="13"/>
      <c r="R946" s="13"/>
      <c r="S946" s="13"/>
      <c r="T946" s="13"/>
      <c r="U946" s="13"/>
      <c r="V946" s="13"/>
      <c r="W946" s="13"/>
    </row>
    <row r="947" ht="15.75" customHeight="1" spans="1:23">
      <c r="A947" s="13"/>
      <c r="B947" s="13"/>
      <c r="C947" s="13"/>
      <c r="D947" s="13"/>
      <c r="E947" s="13"/>
      <c r="F947" s="13"/>
      <c r="G947" s="13"/>
      <c r="H947" s="13"/>
      <c r="I947" s="13"/>
      <c r="J947" s="13"/>
      <c r="K947" s="13"/>
      <c r="L947" s="13"/>
      <c r="M947" s="13"/>
      <c r="N947" s="13"/>
      <c r="O947" s="13"/>
      <c r="P947" s="13"/>
      <c r="Q947" s="13"/>
      <c r="R947" s="13"/>
      <c r="S947" s="13"/>
      <c r="T947" s="13"/>
      <c r="U947" s="13"/>
      <c r="V947" s="13"/>
      <c r="W947" s="13"/>
    </row>
    <row r="948" ht="15.75" customHeight="1" spans="1:23">
      <c r="A948" s="13"/>
      <c r="B948" s="13"/>
      <c r="C948" s="13"/>
      <c r="D948" s="13"/>
      <c r="E948" s="13"/>
      <c r="F948" s="13"/>
      <c r="G948" s="13"/>
      <c r="H948" s="13"/>
      <c r="I948" s="13"/>
      <c r="J948" s="13"/>
      <c r="K948" s="13"/>
      <c r="L948" s="13"/>
      <c r="M948" s="13"/>
      <c r="N948" s="13"/>
      <c r="O948" s="13"/>
      <c r="P948" s="13"/>
      <c r="Q948" s="13"/>
      <c r="R948" s="13"/>
      <c r="S948" s="13"/>
      <c r="T948" s="13"/>
      <c r="U948" s="13"/>
      <c r="V948" s="13"/>
      <c r="W948" s="13"/>
    </row>
    <row r="949" ht="15.75" customHeight="1" spans="1:23">
      <c r="A949" s="13"/>
      <c r="B949" s="13"/>
      <c r="C949" s="13"/>
      <c r="D949" s="13"/>
      <c r="E949" s="13"/>
      <c r="F949" s="13"/>
      <c r="G949" s="13"/>
      <c r="H949" s="13"/>
      <c r="I949" s="13"/>
      <c r="J949" s="13"/>
      <c r="K949" s="13"/>
      <c r="L949" s="13"/>
      <c r="M949" s="13"/>
      <c r="N949" s="13"/>
      <c r="O949" s="13"/>
      <c r="P949" s="13"/>
      <c r="Q949" s="13"/>
      <c r="R949" s="13"/>
      <c r="S949" s="13"/>
      <c r="T949" s="13"/>
      <c r="U949" s="13"/>
      <c r="V949" s="13"/>
      <c r="W949" s="13"/>
    </row>
    <row r="950" ht="15.75" customHeight="1" spans="1:23">
      <c r="A950" s="13"/>
      <c r="B950" s="13"/>
      <c r="C950" s="13"/>
      <c r="D950" s="13"/>
      <c r="E950" s="13"/>
      <c r="F950" s="13"/>
      <c r="G950" s="13"/>
      <c r="H950" s="13"/>
      <c r="I950" s="13"/>
      <c r="J950" s="13"/>
      <c r="K950" s="13"/>
      <c r="L950" s="13"/>
      <c r="M950" s="13"/>
      <c r="N950" s="13"/>
      <c r="O950" s="13"/>
      <c r="P950" s="13"/>
      <c r="Q950" s="13"/>
      <c r="R950" s="13"/>
      <c r="S950" s="13"/>
      <c r="T950" s="13"/>
      <c r="U950" s="13"/>
      <c r="V950" s="13"/>
      <c r="W950" s="13"/>
    </row>
    <row r="951" ht="15.75" customHeight="1" spans="1:23">
      <c r="A951" s="13"/>
      <c r="B951" s="13"/>
      <c r="C951" s="13"/>
      <c r="D951" s="13"/>
      <c r="E951" s="13"/>
      <c r="F951" s="13"/>
      <c r="G951" s="13"/>
      <c r="H951" s="13"/>
      <c r="I951" s="13"/>
      <c r="J951" s="13"/>
      <c r="K951" s="13"/>
      <c r="L951" s="13"/>
      <c r="M951" s="13"/>
      <c r="N951" s="13"/>
      <c r="O951" s="13"/>
      <c r="P951" s="13"/>
      <c r="Q951" s="13"/>
      <c r="R951" s="13"/>
      <c r="S951" s="13"/>
      <c r="T951" s="13"/>
      <c r="U951" s="13"/>
      <c r="V951" s="13"/>
      <c r="W951" s="13"/>
    </row>
    <row r="952" ht="15.75" customHeight="1" spans="1:23">
      <c r="A952" s="13"/>
      <c r="B952" s="13"/>
      <c r="C952" s="13"/>
      <c r="D952" s="13"/>
      <c r="E952" s="13"/>
      <c r="F952" s="13"/>
      <c r="G952" s="13"/>
      <c r="H952" s="13"/>
      <c r="I952" s="13"/>
      <c r="J952" s="13"/>
      <c r="K952" s="13"/>
      <c r="L952" s="13"/>
      <c r="M952" s="13"/>
      <c r="N952" s="13"/>
      <c r="O952" s="13"/>
      <c r="P952" s="13"/>
      <c r="Q952" s="13"/>
      <c r="R952" s="13"/>
      <c r="S952" s="13"/>
      <c r="T952" s="13"/>
      <c r="U952" s="13"/>
      <c r="V952" s="13"/>
      <c r="W952" s="13"/>
    </row>
    <row r="953" ht="15.75" customHeight="1" spans="1:23">
      <c r="A953" s="13"/>
      <c r="B953" s="13"/>
      <c r="C953" s="13"/>
      <c r="D953" s="13"/>
      <c r="E953" s="13"/>
      <c r="F953" s="13"/>
      <c r="G953" s="13"/>
      <c r="H953" s="13"/>
      <c r="I953" s="13"/>
      <c r="J953" s="13"/>
      <c r="K953" s="13"/>
      <c r="L953" s="13"/>
      <c r="M953" s="13"/>
      <c r="N953" s="13"/>
      <c r="O953" s="13"/>
      <c r="P953" s="13"/>
      <c r="Q953" s="13"/>
      <c r="R953" s="13"/>
      <c r="S953" s="13"/>
      <c r="T953" s="13"/>
      <c r="U953" s="13"/>
      <c r="V953" s="13"/>
      <c r="W953" s="13"/>
    </row>
    <row r="954" ht="15.75" customHeight="1" spans="1:23">
      <c r="A954" s="13"/>
      <c r="B954" s="13"/>
      <c r="C954" s="13"/>
      <c r="D954" s="13"/>
      <c r="E954" s="13"/>
      <c r="F954" s="13"/>
      <c r="G954" s="13"/>
      <c r="H954" s="13"/>
      <c r="I954" s="13"/>
      <c r="J954" s="13"/>
      <c r="K954" s="13"/>
      <c r="L954" s="13"/>
      <c r="M954" s="13"/>
      <c r="N954" s="13"/>
      <c r="O954" s="13"/>
      <c r="P954" s="13"/>
      <c r="Q954" s="13"/>
      <c r="R954" s="13"/>
      <c r="S954" s="13"/>
      <c r="T954" s="13"/>
      <c r="U954" s="13"/>
      <c r="V954" s="13"/>
      <c r="W954" s="13"/>
    </row>
    <row r="955" ht="15.75" customHeight="1" spans="1:23">
      <c r="A955" s="13"/>
      <c r="B955" s="13"/>
      <c r="C955" s="13"/>
      <c r="D955" s="13"/>
      <c r="E955" s="13"/>
      <c r="F955" s="13"/>
      <c r="G955" s="13"/>
      <c r="H955" s="13"/>
      <c r="I955" s="13"/>
      <c r="J955" s="13"/>
      <c r="K955" s="13"/>
      <c r="L955" s="13"/>
      <c r="M955" s="13"/>
      <c r="N955" s="13"/>
      <c r="O955" s="13"/>
      <c r="P955" s="13"/>
      <c r="Q955" s="13"/>
      <c r="R955" s="13"/>
      <c r="S955" s="13"/>
      <c r="T955" s="13"/>
      <c r="U955" s="13"/>
      <c r="V955" s="13"/>
      <c r="W955" s="13"/>
    </row>
    <row r="956" ht="15.75" customHeight="1" spans="1:23">
      <c r="A956" s="13"/>
      <c r="B956" s="13"/>
      <c r="C956" s="13"/>
      <c r="D956" s="13"/>
      <c r="E956" s="13"/>
      <c r="F956" s="13"/>
      <c r="G956" s="13"/>
      <c r="H956" s="13"/>
      <c r="I956" s="13"/>
      <c r="J956" s="13"/>
      <c r="K956" s="13"/>
      <c r="L956" s="13"/>
      <c r="M956" s="13"/>
      <c r="N956" s="13"/>
      <c r="O956" s="13"/>
      <c r="P956" s="13"/>
      <c r="Q956" s="13"/>
      <c r="R956" s="13"/>
      <c r="S956" s="13"/>
      <c r="T956" s="13"/>
      <c r="U956" s="13"/>
      <c r="V956" s="13"/>
      <c r="W956" s="13"/>
    </row>
    <row r="957" ht="15.75" customHeight="1" spans="1:23">
      <c r="A957" s="13"/>
      <c r="B957" s="13"/>
      <c r="C957" s="13"/>
      <c r="D957" s="13"/>
      <c r="E957" s="13"/>
      <c r="F957" s="13"/>
      <c r="G957" s="13"/>
      <c r="H957" s="13"/>
      <c r="I957" s="13"/>
      <c r="J957" s="13"/>
      <c r="K957" s="13"/>
      <c r="L957" s="13"/>
      <c r="M957" s="13"/>
      <c r="N957" s="13"/>
      <c r="O957" s="13"/>
      <c r="P957" s="13"/>
      <c r="Q957" s="13"/>
      <c r="R957" s="13"/>
      <c r="S957" s="13"/>
      <c r="T957" s="13"/>
      <c r="U957" s="13"/>
      <c r="V957" s="13"/>
      <c r="W957" s="13"/>
    </row>
    <row r="958" ht="15.75" customHeight="1" spans="1:23">
      <c r="A958" s="13"/>
      <c r="B958" s="13"/>
      <c r="C958" s="13"/>
      <c r="D958" s="13"/>
      <c r="E958" s="13"/>
      <c r="F958" s="13"/>
      <c r="G958" s="13"/>
      <c r="H958" s="13"/>
      <c r="I958" s="13"/>
      <c r="J958" s="13"/>
      <c r="K958" s="13"/>
      <c r="L958" s="13"/>
      <c r="M958" s="13"/>
      <c r="N958" s="13"/>
      <c r="O958" s="13"/>
      <c r="P958" s="13"/>
      <c r="Q958" s="13"/>
      <c r="R958" s="13"/>
      <c r="S958" s="13"/>
      <c r="T958" s="13"/>
      <c r="U958" s="13"/>
      <c r="V958" s="13"/>
      <c r="W958" s="13"/>
    </row>
    <row r="959" ht="15.75" customHeight="1" spans="1:23">
      <c r="A959" s="13"/>
      <c r="B959" s="13"/>
      <c r="C959" s="13"/>
      <c r="D959" s="13"/>
      <c r="E959" s="13"/>
      <c r="F959" s="13"/>
      <c r="G959" s="13"/>
      <c r="H959" s="13"/>
      <c r="I959" s="13"/>
      <c r="J959" s="13"/>
      <c r="K959" s="13"/>
      <c r="L959" s="13"/>
      <c r="M959" s="13"/>
      <c r="N959" s="13"/>
      <c r="O959" s="13"/>
      <c r="P959" s="13"/>
      <c r="Q959" s="13"/>
      <c r="R959" s="13"/>
      <c r="S959" s="13"/>
      <c r="T959" s="13"/>
      <c r="U959" s="13"/>
      <c r="V959" s="13"/>
      <c r="W959" s="13"/>
    </row>
    <row r="960" ht="15.75" customHeight="1" spans="1:23">
      <c r="A960" s="13"/>
      <c r="B960" s="13"/>
      <c r="C960" s="13"/>
      <c r="D960" s="13"/>
      <c r="E960" s="13"/>
      <c r="F960" s="13"/>
      <c r="G960" s="13"/>
      <c r="H960" s="13"/>
      <c r="I960" s="13"/>
      <c r="J960" s="13"/>
      <c r="K960" s="13"/>
      <c r="L960" s="13"/>
      <c r="M960" s="13"/>
      <c r="N960" s="13"/>
      <c r="O960" s="13"/>
      <c r="P960" s="13"/>
      <c r="Q960" s="13"/>
      <c r="R960" s="13"/>
      <c r="S960" s="13"/>
      <c r="T960" s="13"/>
      <c r="U960" s="13"/>
      <c r="V960" s="13"/>
      <c r="W960" s="13"/>
    </row>
    <row r="961" ht="15.75" customHeight="1" spans="1:23">
      <c r="A961" s="13"/>
      <c r="B961" s="13"/>
      <c r="C961" s="13"/>
      <c r="D961" s="13"/>
      <c r="E961" s="13"/>
      <c r="F961" s="13"/>
      <c r="G961" s="13"/>
      <c r="H961" s="13"/>
      <c r="I961" s="13"/>
      <c r="J961" s="13"/>
      <c r="K961" s="13"/>
      <c r="L961" s="13"/>
      <c r="M961" s="13"/>
      <c r="N961" s="13"/>
      <c r="O961" s="13"/>
      <c r="P961" s="13"/>
      <c r="Q961" s="13"/>
      <c r="R961" s="13"/>
      <c r="S961" s="13"/>
      <c r="T961" s="13"/>
      <c r="U961" s="13"/>
      <c r="V961" s="13"/>
      <c r="W961" s="13"/>
    </row>
    <row r="962" ht="15.75" customHeight="1" spans="1:23">
      <c r="A962" s="13"/>
      <c r="B962" s="13"/>
      <c r="C962" s="13"/>
      <c r="D962" s="13"/>
      <c r="E962" s="13"/>
      <c r="F962" s="13"/>
      <c r="G962" s="13"/>
      <c r="H962" s="13"/>
      <c r="I962" s="13"/>
      <c r="J962" s="13"/>
      <c r="K962" s="13"/>
      <c r="L962" s="13"/>
      <c r="M962" s="13"/>
      <c r="N962" s="13"/>
      <c r="O962" s="13"/>
      <c r="P962" s="13"/>
      <c r="Q962" s="13"/>
      <c r="R962" s="13"/>
      <c r="S962" s="13"/>
      <c r="T962" s="13"/>
      <c r="U962" s="13"/>
      <c r="V962" s="13"/>
      <c r="W962" s="13"/>
    </row>
    <row r="963" ht="15.75" customHeight="1" spans="1:23">
      <c r="A963" s="13"/>
      <c r="B963" s="13"/>
      <c r="C963" s="13"/>
      <c r="D963" s="13"/>
      <c r="E963" s="13"/>
      <c r="F963" s="13"/>
      <c r="G963" s="13"/>
      <c r="H963" s="13"/>
      <c r="I963" s="13"/>
      <c r="J963" s="13"/>
      <c r="K963" s="13"/>
      <c r="L963" s="13"/>
      <c r="M963" s="13"/>
      <c r="N963" s="13"/>
      <c r="O963" s="13"/>
      <c r="P963" s="13"/>
      <c r="Q963" s="13"/>
      <c r="R963" s="13"/>
      <c r="S963" s="13"/>
      <c r="T963" s="13"/>
      <c r="U963" s="13"/>
      <c r="V963" s="13"/>
      <c r="W963" s="13"/>
    </row>
    <row r="964" ht="15.75" customHeight="1" spans="1:23">
      <c r="A964" s="13"/>
      <c r="B964" s="13"/>
      <c r="C964" s="13"/>
      <c r="D964" s="13"/>
      <c r="E964" s="13"/>
      <c r="F964" s="13"/>
      <c r="G964" s="13"/>
      <c r="H964" s="13"/>
      <c r="I964" s="13"/>
      <c r="J964" s="13"/>
      <c r="K964" s="13"/>
      <c r="L964" s="13"/>
      <c r="M964" s="13"/>
      <c r="N964" s="13"/>
      <c r="O964" s="13"/>
      <c r="P964" s="13"/>
      <c r="Q964" s="13"/>
      <c r="R964" s="13"/>
      <c r="S964" s="13"/>
      <c r="T964" s="13"/>
      <c r="U964" s="13"/>
      <c r="V964" s="13"/>
      <c r="W964" s="13"/>
    </row>
    <row r="965" ht="15.75" customHeight="1" spans="1:23">
      <c r="A965" s="13"/>
      <c r="B965" s="13"/>
      <c r="C965" s="13"/>
      <c r="D965" s="13"/>
      <c r="E965" s="13"/>
      <c r="F965" s="13"/>
      <c r="G965" s="13"/>
      <c r="H965" s="13"/>
      <c r="I965" s="13"/>
      <c r="J965" s="13"/>
      <c r="K965" s="13"/>
      <c r="L965" s="13"/>
      <c r="M965" s="13"/>
      <c r="N965" s="13"/>
      <c r="O965" s="13"/>
      <c r="P965" s="13"/>
      <c r="Q965" s="13"/>
      <c r="R965" s="13"/>
      <c r="S965" s="13"/>
      <c r="T965" s="13"/>
      <c r="U965" s="13"/>
      <c r="V965" s="13"/>
      <c r="W965" s="13"/>
    </row>
    <row r="966" ht="15.75" customHeight="1" spans="1:23">
      <c r="A966" s="13"/>
      <c r="B966" s="13"/>
      <c r="C966" s="13"/>
      <c r="D966" s="13"/>
      <c r="E966" s="13"/>
      <c r="F966" s="13"/>
      <c r="G966" s="13"/>
      <c r="H966" s="13"/>
      <c r="I966" s="13"/>
      <c r="J966" s="13"/>
      <c r="K966" s="13"/>
      <c r="L966" s="13"/>
      <c r="M966" s="13"/>
      <c r="N966" s="13"/>
      <c r="O966" s="13"/>
      <c r="P966" s="13"/>
      <c r="Q966" s="13"/>
      <c r="R966" s="13"/>
      <c r="S966" s="13"/>
      <c r="T966" s="13"/>
      <c r="U966" s="13"/>
      <c r="V966" s="13"/>
      <c r="W966" s="13"/>
    </row>
    <row r="967" ht="15.75" customHeight="1" spans="1:23">
      <c r="A967" s="13"/>
      <c r="B967" s="13"/>
      <c r="C967" s="13"/>
      <c r="D967" s="13"/>
      <c r="E967" s="13"/>
      <c r="F967" s="13"/>
      <c r="G967" s="13"/>
      <c r="H967" s="13"/>
      <c r="I967" s="13"/>
      <c r="J967" s="13"/>
      <c r="K967" s="13"/>
      <c r="L967" s="13"/>
      <c r="M967" s="13"/>
      <c r="N967" s="13"/>
      <c r="O967" s="13"/>
      <c r="P967" s="13"/>
      <c r="Q967" s="13"/>
      <c r="R967" s="13"/>
      <c r="S967" s="13"/>
      <c r="T967" s="13"/>
      <c r="U967" s="13"/>
      <c r="V967" s="13"/>
      <c r="W967" s="13"/>
    </row>
    <row r="968" ht="15.75" customHeight="1" spans="1:23">
      <c r="A968" s="13"/>
      <c r="B968" s="13"/>
      <c r="C968" s="13"/>
      <c r="D968" s="13"/>
      <c r="E968" s="13"/>
      <c r="F968" s="13"/>
      <c r="G968" s="13"/>
      <c r="H968" s="13"/>
      <c r="I968" s="13"/>
      <c r="J968" s="13"/>
      <c r="K968" s="13"/>
      <c r="L968" s="13"/>
      <c r="M968" s="13"/>
      <c r="N968" s="13"/>
      <c r="O968" s="13"/>
      <c r="P968" s="13"/>
      <c r="Q968" s="13"/>
      <c r="R968" s="13"/>
      <c r="S968" s="13"/>
      <c r="T968" s="13"/>
      <c r="U968" s="13"/>
      <c r="V968" s="13"/>
      <c r="W968" s="13"/>
    </row>
    <row r="969" ht="15.75" customHeight="1" spans="1:23">
      <c r="A969" s="13"/>
      <c r="B969" s="13"/>
      <c r="C969" s="13"/>
      <c r="D969" s="13"/>
      <c r="E969" s="13"/>
      <c r="F969" s="13"/>
      <c r="G969" s="13"/>
      <c r="H969" s="13"/>
      <c r="I969" s="13"/>
      <c r="J969" s="13"/>
      <c r="K969" s="13"/>
      <c r="L969" s="13"/>
      <c r="M969" s="13"/>
      <c r="N969" s="13"/>
      <c r="O969" s="13"/>
      <c r="P969" s="13"/>
      <c r="Q969" s="13"/>
      <c r="R969" s="13"/>
      <c r="S969" s="13"/>
      <c r="T969" s="13"/>
      <c r="U969" s="13"/>
      <c r="V969" s="13"/>
      <c r="W969" s="13"/>
    </row>
    <row r="970" ht="15.75" customHeight="1" spans="1:23">
      <c r="A970" s="13"/>
      <c r="B970" s="13"/>
      <c r="C970" s="13"/>
      <c r="D970" s="13"/>
      <c r="E970" s="13"/>
      <c r="F970" s="13"/>
      <c r="G970" s="13"/>
      <c r="H970" s="13"/>
      <c r="I970" s="13"/>
      <c r="J970" s="13"/>
      <c r="K970" s="13"/>
      <c r="L970" s="13"/>
      <c r="M970" s="13"/>
      <c r="N970" s="13"/>
      <c r="O970" s="13"/>
      <c r="P970" s="13"/>
      <c r="Q970" s="13"/>
      <c r="R970" s="13"/>
      <c r="S970" s="13"/>
      <c r="T970" s="13"/>
      <c r="U970" s="13"/>
      <c r="V970" s="13"/>
      <c r="W970" s="13"/>
    </row>
    <row r="971" ht="15.75" customHeight="1" spans="1:23">
      <c r="A971" s="13"/>
      <c r="B971" s="13"/>
      <c r="C971" s="13"/>
      <c r="D971" s="13"/>
      <c r="E971" s="13"/>
      <c r="F971" s="13"/>
      <c r="G971" s="13"/>
      <c r="H971" s="13"/>
      <c r="I971" s="13"/>
      <c r="J971" s="13"/>
      <c r="K971" s="13"/>
      <c r="L971" s="13"/>
      <c r="M971" s="13"/>
      <c r="N971" s="13"/>
      <c r="O971" s="13"/>
      <c r="P971" s="13"/>
      <c r="Q971" s="13"/>
      <c r="R971" s="13"/>
      <c r="S971" s="13"/>
      <c r="T971" s="13"/>
      <c r="U971" s="13"/>
      <c r="V971" s="13"/>
      <c r="W971" s="13"/>
    </row>
    <row r="972" ht="15.75" customHeight="1" spans="1:23">
      <c r="A972" s="13"/>
      <c r="B972" s="13"/>
      <c r="C972" s="13"/>
      <c r="D972" s="13"/>
      <c r="E972" s="13"/>
      <c r="F972" s="13"/>
      <c r="G972" s="13"/>
      <c r="H972" s="13"/>
      <c r="I972" s="13"/>
      <c r="J972" s="13"/>
      <c r="K972" s="13"/>
      <c r="L972" s="13"/>
      <c r="M972" s="13"/>
      <c r="N972" s="13"/>
      <c r="O972" s="13"/>
      <c r="P972" s="13"/>
      <c r="Q972" s="13"/>
      <c r="R972" s="13"/>
      <c r="S972" s="13"/>
      <c r="T972" s="13"/>
      <c r="U972" s="13"/>
      <c r="V972" s="13"/>
      <c r="W972" s="13"/>
    </row>
    <row r="973" ht="15.75" customHeight="1" spans="1:23">
      <c r="A973" s="13"/>
      <c r="B973" s="13"/>
      <c r="C973" s="13"/>
      <c r="D973" s="13"/>
      <c r="E973" s="13"/>
      <c r="F973" s="13"/>
      <c r="G973" s="13"/>
      <c r="H973" s="13"/>
      <c r="I973" s="13"/>
      <c r="J973" s="13"/>
      <c r="K973" s="13"/>
      <c r="L973" s="13"/>
      <c r="M973" s="13"/>
      <c r="N973" s="13"/>
      <c r="O973" s="13"/>
      <c r="P973" s="13"/>
      <c r="Q973" s="13"/>
      <c r="R973" s="13"/>
      <c r="S973" s="13"/>
      <c r="T973" s="13"/>
      <c r="U973" s="13"/>
      <c r="V973" s="13"/>
      <c r="W973" s="13"/>
    </row>
    <row r="974" ht="15.75" customHeight="1" spans="1:23">
      <c r="A974" s="13"/>
      <c r="B974" s="13"/>
      <c r="C974" s="13"/>
      <c r="D974" s="13"/>
      <c r="E974" s="13"/>
      <c r="F974" s="13"/>
      <c r="G974" s="13"/>
      <c r="H974" s="13"/>
      <c r="I974" s="13"/>
      <c r="J974" s="13"/>
      <c r="K974" s="13"/>
      <c r="L974" s="13"/>
      <c r="M974" s="13"/>
      <c r="N974" s="13"/>
      <c r="O974" s="13"/>
      <c r="P974" s="13"/>
      <c r="Q974" s="13"/>
      <c r="R974" s="13"/>
      <c r="S974" s="13"/>
      <c r="T974" s="13"/>
      <c r="U974" s="13"/>
      <c r="V974" s="13"/>
      <c r="W974" s="13"/>
    </row>
    <row r="975" ht="15.75" customHeight="1" spans="1:23">
      <c r="A975" s="13"/>
      <c r="B975" s="13"/>
      <c r="C975" s="13"/>
      <c r="D975" s="13"/>
      <c r="E975" s="13"/>
      <c r="F975" s="13"/>
      <c r="G975" s="13"/>
      <c r="H975" s="13"/>
      <c r="I975" s="13"/>
      <c r="J975" s="13"/>
      <c r="K975" s="13"/>
      <c r="L975" s="13"/>
      <c r="M975" s="13"/>
      <c r="N975" s="13"/>
      <c r="O975" s="13"/>
      <c r="P975" s="13"/>
      <c r="Q975" s="13"/>
      <c r="R975" s="13"/>
      <c r="S975" s="13"/>
      <c r="T975" s="13"/>
      <c r="U975" s="13"/>
      <c r="V975" s="13"/>
      <c r="W975" s="13"/>
    </row>
    <row r="976" ht="15.75" customHeight="1" spans="1:23">
      <c r="A976" s="13"/>
      <c r="B976" s="13"/>
      <c r="C976" s="13"/>
      <c r="D976" s="13"/>
      <c r="E976" s="13"/>
      <c r="F976" s="13"/>
      <c r="G976" s="13"/>
      <c r="H976" s="13"/>
      <c r="I976" s="13"/>
      <c r="J976" s="13"/>
      <c r="K976" s="13"/>
      <c r="L976" s="13"/>
      <c r="M976" s="13"/>
      <c r="N976" s="13"/>
      <c r="O976" s="13"/>
      <c r="P976" s="13"/>
      <c r="Q976" s="13"/>
      <c r="R976" s="13"/>
      <c r="S976" s="13"/>
      <c r="T976" s="13"/>
      <c r="U976" s="13"/>
      <c r="V976" s="13"/>
      <c r="W976" s="13"/>
    </row>
    <row r="977" ht="15.75" customHeight="1" spans="1:23">
      <c r="A977" s="13"/>
      <c r="B977" s="13"/>
      <c r="C977" s="13"/>
      <c r="D977" s="13"/>
      <c r="E977" s="13"/>
      <c r="F977" s="13"/>
      <c r="G977" s="13"/>
      <c r="H977" s="13"/>
      <c r="I977" s="13"/>
      <c r="J977" s="13"/>
      <c r="K977" s="13"/>
      <c r="L977" s="13"/>
      <c r="M977" s="13"/>
      <c r="N977" s="13"/>
      <c r="O977" s="13"/>
      <c r="P977" s="13"/>
      <c r="Q977" s="13"/>
      <c r="R977" s="13"/>
      <c r="S977" s="13"/>
      <c r="T977" s="13"/>
      <c r="U977" s="13"/>
      <c r="V977" s="13"/>
      <c r="W977" s="13"/>
    </row>
    <row r="978" ht="15.75" customHeight="1" spans="1:23">
      <c r="A978" s="13"/>
      <c r="B978" s="13"/>
      <c r="C978" s="13"/>
      <c r="D978" s="13"/>
      <c r="E978" s="13"/>
      <c r="F978" s="13"/>
      <c r="G978" s="13"/>
      <c r="H978" s="13"/>
      <c r="I978" s="13"/>
      <c r="J978" s="13"/>
      <c r="K978" s="13"/>
      <c r="L978" s="13"/>
      <c r="M978" s="13"/>
      <c r="N978" s="13"/>
      <c r="O978" s="13"/>
      <c r="P978" s="13"/>
      <c r="Q978" s="13"/>
      <c r="R978" s="13"/>
      <c r="S978" s="13"/>
      <c r="T978" s="13"/>
      <c r="U978" s="13"/>
      <c r="V978" s="13"/>
      <c r="W978" s="13"/>
    </row>
    <row r="979" ht="15.75" customHeight="1" spans="1:23">
      <c r="A979" s="13"/>
      <c r="B979" s="13"/>
      <c r="C979" s="13"/>
      <c r="D979" s="13"/>
      <c r="E979" s="13"/>
      <c r="F979" s="13"/>
      <c r="G979" s="13"/>
      <c r="H979" s="13"/>
      <c r="I979" s="13"/>
      <c r="J979" s="13"/>
      <c r="K979" s="13"/>
      <c r="L979" s="13"/>
      <c r="M979" s="13"/>
      <c r="N979" s="13"/>
      <c r="O979" s="13"/>
      <c r="P979" s="13"/>
      <c r="Q979" s="13"/>
      <c r="R979" s="13"/>
      <c r="S979" s="13"/>
      <c r="T979" s="13"/>
      <c r="U979" s="13"/>
      <c r="V979" s="13"/>
      <c r="W979" s="13"/>
    </row>
    <row r="980" ht="15.75" customHeight="1" spans="1:23">
      <c r="A980" s="13"/>
      <c r="B980" s="13"/>
      <c r="C980" s="13"/>
      <c r="D980" s="13"/>
      <c r="E980" s="13"/>
      <c r="F980" s="13"/>
      <c r="G980" s="13"/>
      <c r="H980" s="13"/>
      <c r="I980" s="13"/>
      <c r="J980" s="13"/>
      <c r="K980" s="13"/>
      <c r="L980" s="13"/>
      <c r="M980" s="13"/>
      <c r="N980" s="13"/>
      <c r="O980" s="13"/>
      <c r="P980" s="13"/>
      <c r="Q980" s="13"/>
      <c r="R980" s="13"/>
      <c r="S980" s="13"/>
      <c r="T980" s="13"/>
      <c r="U980" s="13"/>
      <c r="V980" s="13"/>
      <c r="W980" s="13"/>
    </row>
    <row r="981" ht="15.75" customHeight="1" spans="1:23">
      <c r="A981" s="13"/>
      <c r="B981" s="13"/>
      <c r="C981" s="13"/>
      <c r="D981" s="13"/>
      <c r="E981" s="13"/>
      <c r="F981" s="13"/>
      <c r="G981" s="13"/>
      <c r="H981" s="13"/>
      <c r="I981" s="13"/>
      <c r="J981" s="13"/>
      <c r="K981" s="13"/>
      <c r="L981" s="13"/>
      <c r="M981" s="13"/>
      <c r="N981" s="13"/>
      <c r="O981" s="13"/>
      <c r="P981" s="13"/>
      <c r="Q981" s="13"/>
      <c r="R981" s="13"/>
      <c r="S981" s="13"/>
      <c r="T981" s="13"/>
      <c r="U981" s="13"/>
      <c r="V981" s="13"/>
      <c r="W981" s="13"/>
    </row>
    <row r="982" ht="15.75" customHeight="1" spans="1:23">
      <c r="A982" s="13"/>
      <c r="B982" s="13"/>
      <c r="C982" s="13"/>
      <c r="D982" s="13"/>
      <c r="E982" s="13"/>
      <c r="F982" s="13"/>
      <c r="G982" s="13"/>
      <c r="H982" s="13"/>
      <c r="I982" s="13"/>
      <c r="J982" s="13"/>
      <c r="K982" s="13"/>
      <c r="L982" s="13"/>
      <c r="M982" s="13"/>
      <c r="N982" s="13"/>
      <c r="O982" s="13"/>
      <c r="P982" s="13"/>
      <c r="Q982" s="13"/>
      <c r="R982" s="13"/>
      <c r="S982" s="13"/>
      <c r="T982" s="13"/>
      <c r="U982" s="13"/>
      <c r="V982" s="13"/>
      <c r="W982" s="13"/>
    </row>
    <row r="983" ht="15.75" customHeight="1" spans="1:23">
      <c r="A983" s="13"/>
      <c r="B983" s="13"/>
      <c r="C983" s="13"/>
      <c r="D983" s="13"/>
      <c r="E983" s="13"/>
      <c r="F983" s="13"/>
      <c r="G983" s="13"/>
      <c r="H983" s="13"/>
      <c r="I983" s="13"/>
      <c r="J983" s="13"/>
      <c r="K983" s="13"/>
      <c r="L983" s="13"/>
      <c r="M983" s="13"/>
      <c r="N983" s="13"/>
      <c r="O983" s="13"/>
      <c r="P983" s="13"/>
      <c r="Q983" s="13"/>
      <c r="R983" s="13"/>
      <c r="S983" s="13"/>
      <c r="T983" s="13"/>
      <c r="U983" s="13"/>
      <c r="V983" s="13"/>
      <c r="W983" s="13"/>
    </row>
    <row r="984" ht="15.75" customHeight="1" spans="1:23">
      <c r="A984" s="13"/>
      <c r="B984" s="13"/>
      <c r="C984" s="13"/>
      <c r="D984" s="13"/>
      <c r="E984" s="13"/>
      <c r="F984" s="13"/>
      <c r="G984" s="13"/>
      <c r="H984" s="13"/>
      <c r="I984" s="13"/>
      <c r="J984" s="13"/>
      <c r="K984" s="13"/>
      <c r="L984" s="13"/>
      <c r="M984" s="13"/>
      <c r="N984" s="13"/>
      <c r="O984" s="13"/>
      <c r="P984" s="13"/>
      <c r="Q984" s="13"/>
      <c r="R984" s="13"/>
      <c r="S984" s="13"/>
      <c r="T984" s="13"/>
      <c r="U984" s="13"/>
      <c r="V984" s="13"/>
      <c r="W984" s="13"/>
    </row>
    <row r="985" ht="15.75" customHeight="1" spans="1:23">
      <c r="A985" s="13"/>
      <c r="B985" s="13"/>
      <c r="C985" s="13"/>
      <c r="D985" s="13"/>
      <c r="E985" s="13"/>
      <c r="F985" s="13"/>
      <c r="G985" s="13"/>
      <c r="H985" s="13"/>
      <c r="I985" s="13"/>
      <c r="J985" s="13"/>
      <c r="K985" s="13"/>
      <c r="L985" s="13"/>
      <c r="M985" s="13"/>
      <c r="N985" s="13"/>
      <c r="O985" s="13"/>
      <c r="P985" s="13"/>
      <c r="Q985" s="13"/>
      <c r="R985" s="13"/>
      <c r="S985" s="13"/>
      <c r="T985" s="13"/>
      <c r="U985" s="13"/>
      <c r="V985" s="13"/>
      <c r="W985" s="13"/>
    </row>
    <row r="986" ht="15.75" customHeight="1" spans="1:23">
      <c r="A986" s="13"/>
      <c r="B986" s="13"/>
      <c r="C986" s="13"/>
      <c r="D986" s="13"/>
      <c r="E986" s="13"/>
      <c r="F986" s="13"/>
      <c r="G986" s="13"/>
      <c r="H986" s="13"/>
      <c r="I986" s="13"/>
      <c r="J986" s="13"/>
      <c r="K986" s="13"/>
      <c r="L986" s="13"/>
      <c r="M986" s="13"/>
      <c r="N986" s="13"/>
      <c r="O986" s="13"/>
      <c r="P986" s="13"/>
      <c r="Q986" s="13"/>
      <c r="R986" s="13"/>
      <c r="S986" s="13"/>
      <c r="T986" s="13"/>
      <c r="U986" s="13"/>
      <c r="V986" s="13"/>
      <c r="W986" s="13"/>
    </row>
    <row r="987" ht="15.75" customHeight="1" spans="1:23">
      <c r="A987" s="13"/>
      <c r="B987" s="13"/>
      <c r="C987" s="13"/>
      <c r="D987" s="13"/>
      <c r="E987" s="13"/>
      <c r="F987" s="13"/>
      <c r="G987" s="13"/>
      <c r="H987" s="13"/>
      <c r="I987" s="13"/>
      <c r="J987" s="13"/>
      <c r="K987" s="13"/>
      <c r="L987" s="13"/>
      <c r="M987" s="13"/>
      <c r="N987" s="13"/>
      <c r="O987" s="13"/>
      <c r="P987" s="13"/>
      <c r="Q987" s="13"/>
      <c r="R987" s="13"/>
      <c r="S987" s="13"/>
      <c r="T987" s="13"/>
      <c r="U987" s="13"/>
      <c r="V987" s="13"/>
      <c r="W987" s="13"/>
    </row>
    <row r="988" ht="15.75" customHeight="1" spans="1:23">
      <c r="A988" s="13"/>
      <c r="B988" s="13"/>
      <c r="C988" s="13"/>
      <c r="D988" s="13"/>
      <c r="E988" s="13"/>
      <c r="F988" s="13"/>
      <c r="G988" s="13"/>
      <c r="H988" s="13"/>
      <c r="I988" s="13"/>
      <c r="J988" s="13"/>
      <c r="K988" s="13"/>
      <c r="L988" s="13"/>
      <c r="M988" s="13"/>
      <c r="N988" s="13"/>
      <c r="O988" s="13"/>
      <c r="P988" s="13"/>
      <c r="Q988" s="13"/>
      <c r="R988" s="13"/>
      <c r="S988" s="13"/>
      <c r="T988" s="13"/>
      <c r="U988" s="13"/>
      <c r="V988" s="13"/>
      <c r="W988" s="13"/>
    </row>
    <row r="989" ht="15.75" customHeight="1" spans="1:23">
      <c r="A989" s="13"/>
      <c r="B989" s="13"/>
      <c r="C989" s="13"/>
      <c r="D989" s="13"/>
      <c r="E989" s="13"/>
      <c r="F989" s="13"/>
      <c r="G989" s="13"/>
      <c r="H989" s="13"/>
      <c r="I989" s="13"/>
      <c r="J989" s="13"/>
      <c r="K989" s="13"/>
      <c r="L989" s="13"/>
      <c r="M989" s="13"/>
      <c r="N989" s="13"/>
      <c r="O989" s="13"/>
      <c r="P989" s="13"/>
      <c r="Q989" s="13"/>
      <c r="R989" s="13"/>
      <c r="S989" s="13"/>
      <c r="T989" s="13"/>
      <c r="U989" s="13"/>
      <c r="V989" s="13"/>
      <c r="W989" s="13"/>
    </row>
    <row r="990" ht="15.75" customHeight="1" spans="1:23">
      <c r="A990" s="13"/>
      <c r="B990" s="13"/>
      <c r="C990" s="13"/>
      <c r="D990" s="13"/>
      <c r="E990" s="13"/>
      <c r="F990" s="13"/>
      <c r="G990" s="13"/>
      <c r="H990" s="13"/>
      <c r="I990" s="13"/>
      <c r="J990" s="13"/>
      <c r="K990" s="13"/>
      <c r="L990" s="13"/>
      <c r="M990" s="13"/>
      <c r="N990" s="13"/>
      <c r="O990" s="13"/>
      <c r="P990" s="13"/>
      <c r="Q990" s="13"/>
      <c r="R990" s="13"/>
      <c r="S990" s="13"/>
      <c r="T990" s="13"/>
      <c r="U990" s="13"/>
      <c r="V990" s="13"/>
      <c r="W990" s="13"/>
    </row>
    <row r="991" ht="15.75" customHeight="1" spans="1:23">
      <c r="A991" s="13"/>
      <c r="B991" s="13"/>
      <c r="C991" s="13"/>
      <c r="D991" s="13"/>
      <c r="E991" s="13"/>
      <c r="F991" s="13"/>
      <c r="G991" s="13"/>
      <c r="H991" s="13"/>
      <c r="I991" s="13"/>
      <c r="J991" s="13"/>
      <c r="K991" s="13"/>
      <c r="L991" s="13"/>
      <c r="M991" s="13"/>
      <c r="N991" s="13"/>
      <c r="O991" s="13"/>
      <c r="P991" s="13"/>
      <c r="Q991" s="13"/>
      <c r="R991" s="13"/>
      <c r="S991" s="13"/>
      <c r="T991" s="13"/>
      <c r="U991" s="13"/>
      <c r="V991" s="13"/>
      <c r="W991" s="13"/>
    </row>
    <row r="992" ht="15.75" customHeight="1" spans="1:23">
      <c r="A992" s="13"/>
      <c r="B992" s="13"/>
      <c r="C992" s="13"/>
      <c r="D992" s="13"/>
      <c r="E992" s="13"/>
      <c r="F992" s="13"/>
      <c r="G992" s="13"/>
      <c r="H992" s="13"/>
      <c r="I992" s="13"/>
      <c r="J992" s="13"/>
      <c r="K992" s="13"/>
      <c r="L992" s="13"/>
      <c r="M992" s="13"/>
      <c r="N992" s="13"/>
      <c r="O992" s="13"/>
      <c r="P992" s="13"/>
      <c r="Q992" s="13"/>
      <c r="R992" s="13"/>
      <c r="S992" s="13"/>
      <c r="T992" s="13"/>
      <c r="U992" s="13"/>
      <c r="V992" s="13"/>
      <c r="W992" s="13"/>
    </row>
    <row r="993" ht="15.75" customHeight="1" spans="1:23">
      <c r="A993" s="13"/>
      <c r="B993" s="13"/>
      <c r="C993" s="13"/>
      <c r="D993" s="13"/>
      <c r="E993" s="13"/>
      <c r="F993" s="13"/>
      <c r="G993" s="13"/>
      <c r="H993" s="13"/>
      <c r="I993" s="13"/>
      <c r="J993" s="13"/>
      <c r="K993" s="13"/>
      <c r="L993" s="13"/>
      <c r="M993" s="13"/>
      <c r="N993" s="13"/>
      <c r="O993" s="13"/>
      <c r="P993" s="13"/>
      <c r="Q993" s="13"/>
      <c r="R993" s="13"/>
      <c r="S993" s="13"/>
      <c r="T993" s="13"/>
      <c r="U993" s="13"/>
      <c r="V993" s="13"/>
      <c r="W993" s="13"/>
    </row>
    <row r="994" ht="15.75" customHeight="1" spans="1:23">
      <c r="A994" s="13"/>
      <c r="B994" s="13"/>
      <c r="C994" s="13"/>
      <c r="D994" s="13"/>
      <c r="E994" s="13"/>
      <c r="F994" s="13"/>
      <c r="G994" s="13"/>
      <c r="H994" s="13"/>
      <c r="I994" s="13"/>
      <c r="J994" s="13"/>
      <c r="K994" s="13"/>
      <c r="L994" s="13"/>
      <c r="M994" s="13"/>
      <c r="N994" s="13"/>
      <c r="O994" s="13"/>
      <c r="P994" s="13"/>
      <c r="Q994" s="13"/>
      <c r="R994" s="13"/>
      <c r="S994" s="13"/>
      <c r="T994" s="13"/>
      <c r="U994" s="13"/>
      <c r="V994" s="13"/>
      <c r="W994" s="13"/>
    </row>
    <row r="995" ht="15.75" customHeight="1" spans="1:23">
      <c r="A995" s="13"/>
      <c r="B995" s="13"/>
      <c r="C995" s="13"/>
      <c r="D995" s="13"/>
      <c r="E995" s="13"/>
      <c r="F995" s="13"/>
      <c r="G995" s="13"/>
      <c r="H995" s="13"/>
      <c r="I995" s="13"/>
      <c r="J995" s="13"/>
      <c r="K995" s="13"/>
      <c r="L995" s="13"/>
      <c r="M995" s="13"/>
      <c r="N995" s="13"/>
      <c r="O995" s="13"/>
      <c r="P995" s="13"/>
      <c r="Q995" s="13"/>
      <c r="R995" s="13"/>
      <c r="S995" s="13"/>
      <c r="T995" s="13"/>
      <c r="U995" s="13"/>
      <c r="V995" s="13"/>
      <c r="W995" s="13"/>
    </row>
    <row r="996" ht="15.75" customHeight="1" spans="1:23">
      <c r="A996" s="13"/>
      <c r="B996" s="13"/>
      <c r="C996" s="13"/>
      <c r="D996" s="13"/>
      <c r="E996" s="13"/>
      <c r="F996" s="13"/>
      <c r="G996" s="13"/>
      <c r="H996" s="13"/>
      <c r="I996" s="13"/>
      <c r="J996" s="13"/>
      <c r="K996" s="13"/>
      <c r="L996" s="13"/>
      <c r="M996" s="13"/>
      <c r="N996" s="13"/>
      <c r="O996" s="13"/>
      <c r="P996" s="13"/>
      <c r="Q996" s="13"/>
      <c r="R996" s="13"/>
      <c r="S996" s="13"/>
      <c r="T996" s="13"/>
      <c r="U996" s="13"/>
      <c r="V996" s="13"/>
      <c r="W996" s="13"/>
    </row>
    <row r="997" ht="15.75" customHeight="1" spans="1:23">
      <c r="A997" s="13"/>
      <c r="B997" s="13"/>
      <c r="C997" s="13"/>
      <c r="D997" s="13"/>
      <c r="E997" s="13"/>
      <c r="F997" s="13"/>
      <c r="G997" s="13"/>
      <c r="H997" s="13"/>
      <c r="I997" s="13"/>
      <c r="J997" s="13"/>
      <c r="K997" s="13"/>
      <c r="L997" s="13"/>
      <c r="M997" s="13"/>
      <c r="N997" s="13"/>
      <c r="O997" s="13"/>
      <c r="P997" s="13"/>
      <c r="Q997" s="13"/>
      <c r="R997" s="13"/>
      <c r="S997" s="13"/>
      <c r="T997" s="13"/>
      <c r="U997" s="13"/>
      <c r="V997" s="13"/>
      <c r="W997" s="13"/>
    </row>
    <row r="998" ht="15.75" customHeight="1" spans="1:23">
      <c r="A998" s="13"/>
      <c r="B998" s="13"/>
      <c r="C998" s="13"/>
      <c r="D998" s="13"/>
      <c r="E998" s="13"/>
      <c r="F998" s="13"/>
      <c r="G998" s="13"/>
      <c r="H998" s="13"/>
      <c r="I998" s="13"/>
      <c r="J998" s="13"/>
      <c r="K998" s="13"/>
      <c r="L998" s="13"/>
      <c r="M998" s="13"/>
      <c r="N998" s="13"/>
      <c r="O998" s="13"/>
      <c r="P998" s="13"/>
      <c r="Q998" s="13"/>
      <c r="R998" s="13"/>
      <c r="S998" s="13"/>
      <c r="T998" s="13"/>
      <c r="U998" s="13"/>
      <c r="V998" s="13"/>
      <c r="W998" s="13"/>
    </row>
    <row r="999" ht="15.75" customHeight="1" spans="1:23">
      <c r="A999" s="13"/>
      <c r="B999" s="13"/>
      <c r="C999" s="13"/>
      <c r="D999" s="13"/>
      <c r="E999" s="13"/>
      <c r="F999" s="13"/>
      <c r="G999" s="13"/>
      <c r="H999" s="13"/>
      <c r="I999" s="13"/>
      <c r="J999" s="13"/>
      <c r="K999" s="13"/>
      <c r="L999" s="13"/>
      <c r="M999" s="13"/>
      <c r="N999" s="13"/>
      <c r="O999" s="13"/>
      <c r="P999" s="13"/>
      <c r="Q999" s="13"/>
      <c r="R999" s="13"/>
      <c r="S999" s="13"/>
      <c r="T999" s="13"/>
      <c r="U999" s="13"/>
      <c r="V999" s="13"/>
      <c r="W999" s="13"/>
    </row>
    <row r="1000" ht="15.75" customHeight="1" spans="1:23">
      <c r="A1000" s="13"/>
      <c r="B1000" s="13"/>
      <c r="C1000" s="13"/>
      <c r="D1000" s="13"/>
      <c r="E1000" s="13"/>
      <c r="F1000" s="13"/>
      <c r="G1000" s="13"/>
      <c r="H1000" s="13"/>
      <c r="I1000" s="13"/>
      <c r="J1000" s="13"/>
      <c r="K1000" s="13"/>
      <c r="L1000" s="13"/>
      <c r="M1000" s="13"/>
      <c r="N1000" s="13"/>
      <c r="O1000" s="13"/>
      <c r="P1000" s="13"/>
      <c r="Q1000" s="13"/>
      <c r="R1000" s="13"/>
      <c r="S1000" s="13"/>
      <c r="T1000" s="13"/>
      <c r="U1000" s="13"/>
      <c r="V1000" s="13"/>
      <c r="W1000" s="13"/>
    </row>
  </sheetData>
  <pageMargins left="0.75" right="0.75" top="1" bottom="1" header="0.5" footer="0.5"/>
  <headerFooter/>
  <tableParts count="1">
    <tablePart r:id="rId1"/>
  </tableParts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W1015"/>
  <sheetViews>
    <sheetView workbookViewId="0">
      <selection activeCell="A1" sqref="A1"/>
    </sheetView>
  </sheetViews>
  <sheetFormatPr defaultColWidth="14.43" defaultRowHeight="15" customHeight="1"/>
  <cols>
    <col min="3" max="3" width="63.43" customWidth="1"/>
  </cols>
  <sheetData>
    <row r="1" customHeight="1" spans="1:23">
      <c r="A1" s="7" t="s">
        <v>75</v>
      </c>
      <c r="B1" s="7" t="s">
        <v>534</v>
      </c>
      <c r="C1" s="7" t="s">
        <v>2</v>
      </c>
      <c r="D1" s="7" t="s">
        <v>535</v>
      </c>
      <c r="E1" s="7" t="s">
        <v>536</v>
      </c>
      <c r="F1" s="7" t="s">
        <v>79</v>
      </c>
      <c r="G1" s="7" t="s">
        <v>537</v>
      </c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</row>
    <row r="2" customHeight="1" spans="1:23">
      <c r="A2" s="7" t="str">
        <f t="array" ref="A2">_xlfn.XLOOKUP(B2,Tabela_ID_2026[INEP],Tabela_ID_2026[REGIONAL],"ne")</f>
        <v>REGIONAL 7</v>
      </c>
      <c r="B2" s="7">
        <v>26194643</v>
      </c>
      <c r="C2" s="7" t="s">
        <v>538</v>
      </c>
      <c r="D2" s="7" t="s">
        <v>539</v>
      </c>
      <c r="E2" s="7" t="s">
        <v>34</v>
      </c>
      <c r="F2" s="7" t="s">
        <v>540</v>
      </c>
      <c r="G2" s="8">
        <v>20</v>
      </c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</row>
    <row r="3" customHeight="1" spans="1:23">
      <c r="A3" s="7" t="str">
        <f t="array" ref="A3">_xlfn.XLOOKUP(B3,Tabela_ID_2026[INEP],Tabela_ID_2026[REGIONAL],"ne")</f>
        <v>REGIONAL 7</v>
      </c>
      <c r="B3" s="7">
        <v>26109255</v>
      </c>
      <c r="C3" s="7" t="s">
        <v>70</v>
      </c>
      <c r="D3" s="7" t="s">
        <v>539</v>
      </c>
      <c r="E3" s="7" t="s">
        <v>34</v>
      </c>
      <c r="F3" s="7" t="s">
        <v>540</v>
      </c>
      <c r="G3" s="8">
        <v>20</v>
      </c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</row>
    <row r="4" customHeight="1" spans="1:23">
      <c r="A4" s="7" t="str">
        <f t="array" ref="A4">_xlfn.XLOOKUP(B4,Tabela_ID_2026[INEP],Tabela_ID_2026[REGIONAL],"ne")</f>
        <v>REGIONAL 7</v>
      </c>
      <c r="B4" s="7">
        <v>26109530</v>
      </c>
      <c r="C4" s="7" t="s">
        <v>541</v>
      </c>
      <c r="D4" s="7" t="s">
        <v>539</v>
      </c>
      <c r="E4" s="7" t="s">
        <v>34</v>
      </c>
      <c r="F4" s="7" t="s">
        <v>540</v>
      </c>
      <c r="G4" s="8">
        <v>18</v>
      </c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</row>
    <row r="5" customHeight="1" spans="1:23">
      <c r="A5" s="7" t="str">
        <f t="array" ref="A5">_xlfn.XLOOKUP(B5,Tabela_ID_2026[INEP],Tabela_ID_2026[REGIONAL],"ne")</f>
        <v>REGIONAL 6</v>
      </c>
      <c r="B5" s="7">
        <v>26191300</v>
      </c>
      <c r="C5" s="7" t="s">
        <v>542</v>
      </c>
      <c r="D5" s="7" t="s">
        <v>539</v>
      </c>
      <c r="E5" s="7" t="s">
        <v>34</v>
      </c>
      <c r="F5" s="7" t="s">
        <v>540</v>
      </c>
      <c r="G5" s="8">
        <v>16</v>
      </c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</row>
    <row r="6" customHeight="1" spans="1:23">
      <c r="A6" s="7" t="str">
        <f t="array" ref="A6">_xlfn.XLOOKUP(B6,Tabela_ID_2026[INEP],Tabela_ID_2026[REGIONAL],"ne")</f>
        <v>REGIONAL 2</v>
      </c>
      <c r="B6" s="7">
        <v>26186063</v>
      </c>
      <c r="C6" s="7" t="s">
        <v>48</v>
      </c>
      <c r="D6" s="7" t="s">
        <v>543</v>
      </c>
      <c r="E6" s="7" t="s">
        <v>31</v>
      </c>
      <c r="F6" s="7" t="s">
        <v>36</v>
      </c>
      <c r="G6" s="8">
        <v>10</v>
      </c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</row>
    <row r="7" customHeight="1" spans="1:23">
      <c r="A7" s="7" t="str">
        <f t="array" ref="A7">_xlfn.XLOOKUP(B7,Tabela_ID_2026[INEP],Tabela_ID_2026[REGIONAL],"ne")</f>
        <v>REGIONAL 5</v>
      </c>
      <c r="B7" s="7">
        <v>26191296</v>
      </c>
      <c r="C7" s="7" t="s">
        <v>544</v>
      </c>
      <c r="D7" s="7" t="s">
        <v>543</v>
      </c>
      <c r="E7" s="7" t="s">
        <v>30</v>
      </c>
      <c r="F7" s="7" t="s">
        <v>36</v>
      </c>
      <c r="G7" s="8">
        <v>19</v>
      </c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</row>
    <row r="8" customHeight="1" spans="1:23">
      <c r="A8" s="7" t="str">
        <f t="array" ref="A8">_xlfn.XLOOKUP(B8,Tabela_ID_2026[INEP],Tabela_ID_2026[REGIONAL],"ne")</f>
        <v>REGIONAL 5</v>
      </c>
      <c r="B8" s="7">
        <v>26183838</v>
      </c>
      <c r="C8" s="7" t="s">
        <v>545</v>
      </c>
      <c r="D8" s="7" t="s">
        <v>539</v>
      </c>
      <c r="E8" s="7" t="s">
        <v>34</v>
      </c>
      <c r="F8" s="7" t="s">
        <v>540</v>
      </c>
      <c r="G8" s="8">
        <v>54</v>
      </c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customHeight="1" spans="1:23">
      <c r="A9" s="7" t="str">
        <f t="array" ref="A9">_xlfn.XLOOKUP(B9,Tabela_ID_2026[INEP],Tabela_ID_2026[REGIONAL],"ne")</f>
        <v>REGIONAL 1</v>
      </c>
      <c r="B9" s="7">
        <v>26188333</v>
      </c>
      <c r="C9" s="7" t="s">
        <v>546</v>
      </c>
      <c r="D9" s="7" t="s">
        <v>539</v>
      </c>
      <c r="E9" s="7" t="s">
        <v>34</v>
      </c>
      <c r="F9" s="7" t="s">
        <v>540</v>
      </c>
      <c r="G9" s="8">
        <v>16</v>
      </c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customHeight="1" spans="1:23">
      <c r="A10" s="7" t="str">
        <f t="array" ref="A10">_xlfn.XLOOKUP(B10,Tabela_ID_2026[INEP],Tabela_ID_2026[REGIONAL],"ne")</f>
        <v>REGIONAL 6</v>
      </c>
      <c r="B10" s="7">
        <v>26187078</v>
      </c>
      <c r="C10" s="7" t="s">
        <v>399</v>
      </c>
      <c r="D10" s="7" t="s">
        <v>539</v>
      </c>
      <c r="E10" s="7" t="s">
        <v>34</v>
      </c>
      <c r="F10" s="7" t="s">
        <v>540</v>
      </c>
      <c r="G10" s="8">
        <v>24</v>
      </c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customHeight="1" spans="1:23">
      <c r="A11" s="7" t="str">
        <f t="array" ref="A11">_xlfn.XLOOKUP(B11,Tabela_ID_2026[INEP],Tabela_ID_2026[REGIONAL],"ne")</f>
        <v>REGIONAL 6</v>
      </c>
      <c r="B11" s="7">
        <v>26192420</v>
      </c>
      <c r="C11" s="7" t="s">
        <v>547</v>
      </c>
      <c r="D11" s="7" t="s">
        <v>543</v>
      </c>
      <c r="E11" s="7" t="s">
        <v>30</v>
      </c>
      <c r="F11" s="7" t="s">
        <v>36</v>
      </c>
      <c r="G11" s="8">
        <v>14</v>
      </c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</row>
    <row r="12" customHeight="1" spans="1:23">
      <c r="A12" s="7" t="str">
        <f t="array" ref="A12">_xlfn.XLOOKUP(B12,Tabela_ID_2026[INEP],Tabela_ID_2026[REGIONAL],"ne")</f>
        <v>REGIONAL 1</v>
      </c>
      <c r="B12" s="7">
        <v>26147840</v>
      </c>
      <c r="C12" s="7" t="s">
        <v>44</v>
      </c>
      <c r="D12" s="7" t="s">
        <v>539</v>
      </c>
      <c r="E12" s="7" t="s">
        <v>34</v>
      </c>
      <c r="F12" s="7" t="s">
        <v>540</v>
      </c>
      <c r="G12" s="8">
        <v>10</v>
      </c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</row>
    <row r="13" customHeight="1" spans="1:23">
      <c r="A13" s="7" t="str">
        <f t="array" ref="A13">_xlfn.XLOOKUP(B13,Tabela_ID_2026[INEP],Tabela_ID_2026[REGIONAL],"ne")</f>
        <v>REGIONAL 2</v>
      </c>
      <c r="B13" s="7">
        <v>26177560</v>
      </c>
      <c r="C13" s="7" t="s">
        <v>188</v>
      </c>
      <c r="D13" s="7" t="s">
        <v>548</v>
      </c>
      <c r="E13" s="7" t="s">
        <v>549</v>
      </c>
      <c r="F13" s="7" t="s">
        <v>540</v>
      </c>
      <c r="G13" s="8">
        <v>88</v>
      </c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</row>
    <row r="14" customHeight="1" spans="1:23">
      <c r="A14" s="7" t="str">
        <f t="array" ref="A14">_xlfn.XLOOKUP(B14,Tabela_ID_2026[INEP],Tabela_ID_2026[REGIONAL],"ne")</f>
        <v>REGIONAL 4</v>
      </c>
      <c r="B14" s="7">
        <v>26156288</v>
      </c>
      <c r="C14" s="7" t="s">
        <v>550</v>
      </c>
      <c r="D14" s="7" t="s">
        <v>539</v>
      </c>
      <c r="E14" s="7" t="s">
        <v>34</v>
      </c>
      <c r="F14" s="7" t="s">
        <v>540</v>
      </c>
      <c r="G14" s="8">
        <v>40</v>
      </c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</row>
    <row r="15" customHeight="1" spans="1:23">
      <c r="A15" s="7" t="str">
        <f t="array" ref="A15">_xlfn.XLOOKUP(B15,Tabela_ID_2026[INEP],Tabela_ID_2026[REGIONAL],"ne")</f>
        <v>REGIONAL 4</v>
      </c>
      <c r="B15" s="7">
        <v>26137690</v>
      </c>
      <c r="C15" s="7" t="s">
        <v>551</v>
      </c>
      <c r="D15" s="7" t="s">
        <v>543</v>
      </c>
      <c r="E15" s="7" t="s">
        <v>32</v>
      </c>
      <c r="F15" s="7" t="s">
        <v>540</v>
      </c>
      <c r="G15" s="8">
        <v>1</v>
      </c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</row>
    <row r="16" customHeight="1" spans="1:23">
      <c r="A16" s="7" t="str">
        <f t="array" ref="A16">_xlfn.XLOOKUP(B16,Tabela_ID_2026[INEP],Tabela_ID_2026[REGIONAL],"ne")</f>
        <v>REGIONAL 6</v>
      </c>
      <c r="B16" s="7">
        <v>26137739</v>
      </c>
      <c r="C16" s="7" t="s">
        <v>552</v>
      </c>
      <c r="D16" s="7" t="s">
        <v>539</v>
      </c>
      <c r="E16" s="7" t="s">
        <v>35</v>
      </c>
      <c r="F16" s="7" t="s">
        <v>540</v>
      </c>
      <c r="G16" s="8">
        <v>44</v>
      </c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</row>
    <row r="17" customHeight="1" spans="1:23">
      <c r="A17" s="7" t="str">
        <f t="array" ref="A17">_xlfn.XLOOKUP(B17,Tabela_ID_2026[INEP],Tabela_ID_2026[REGIONAL],"ne")</f>
        <v>REGIONAL 1</v>
      </c>
      <c r="B17" s="7">
        <v>26108593</v>
      </c>
      <c r="C17" s="7" t="s">
        <v>553</v>
      </c>
      <c r="D17" s="7" t="s">
        <v>554</v>
      </c>
      <c r="E17" s="7" t="s">
        <v>555</v>
      </c>
      <c r="F17" s="7" t="s">
        <v>36</v>
      </c>
      <c r="G17" s="8">
        <v>42</v>
      </c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</row>
    <row r="18" customHeight="1" spans="1:23">
      <c r="A18" s="7" t="str">
        <f t="array" ref="A18">_xlfn.XLOOKUP(B18,Tabela_ID_2026[INEP],Tabela_ID_2026[REGIONAL],"ne")</f>
        <v>REGIONAL 7</v>
      </c>
      <c r="B18" s="7">
        <v>26110547</v>
      </c>
      <c r="C18" s="7" t="s">
        <v>556</v>
      </c>
      <c r="D18" s="7" t="s">
        <v>539</v>
      </c>
      <c r="E18" s="7" t="s">
        <v>34</v>
      </c>
      <c r="F18" s="7" t="s">
        <v>557</v>
      </c>
      <c r="G18" s="8">
        <v>17</v>
      </c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</row>
    <row r="19" customHeight="1" spans="1:23">
      <c r="A19" s="7" t="str">
        <f t="array" ref="A19">_xlfn.XLOOKUP(B19,Tabela_ID_2026[INEP],Tabela_ID_2026[REGIONAL],"ne")</f>
        <v>REGIONAL 6</v>
      </c>
      <c r="B19" s="7">
        <v>26108577</v>
      </c>
      <c r="C19" s="7" t="s">
        <v>558</v>
      </c>
      <c r="D19" s="7" t="s">
        <v>559</v>
      </c>
      <c r="E19" s="7" t="s">
        <v>560</v>
      </c>
      <c r="F19" s="7" t="s">
        <v>561</v>
      </c>
      <c r="G19" s="8">
        <v>1</v>
      </c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customHeight="1" spans="1:23">
      <c r="A20" s="7" t="str">
        <f t="array" ref="A20">_xlfn.XLOOKUP(B20,Tabela_ID_2026[INEP],Tabela_ID_2026[REGIONAL],"ne")</f>
        <v>REGIONAL 2</v>
      </c>
      <c r="B20" s="7">
        <v>26109425</v>
      </c>
      <c r="C20" s="7" t="s">
        <v>191</v>
      </c>
      <c r="D20" s="7" t="s">
        <v>543</v>
      </c>
      <c r="E20" s="7" t="s">
        <v>30</v>
      </c>
      <c r="F20" s="7" t="s">
        <v>36</v>
      </c>
      <c r="G20" s="8">
        <v>19</v>
      </c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</row>
    <row r="21" customHeight="1" spans="1:23">
      <c r="A21" s="7" t="str">
        <f t="array" ref="A21">_xlfn.XLOOKUP(B21,Tabela_ID_2026[INEP],Tabela_ID_2026[REGIONAL],"ne")</f>
        <v>REGIONAL 1</v>
      </c>
      <c r="B21" s="7">
        <v>26156270</v>
      </c>
      <c r="C21" s="7" t="s">
        <v>45</v>
      </c>
      <c r="D21" s="7" t="s">
        <v>543</v>
      </c>
      <c r="E21" s="7" t="s">
        <v>30</v>
      </c>
      <c r="F21" s="7" t="s">
        <v>36</v>
      </c>
      <c r="G21" s="8">
        <v>26</v>
      </c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</row>
    <row r="22" customHeight="1" spans="1:23">
      <c r="A22" s="7" t="str">
        <f t="array" ref="A22">_xlfn.XLOOKUP(B22,Tabela_ID_2026[INEP],Tabela_ID_2026[REGIONAL],"ne")</f>
        <v>REGIONAL 6</v>
      </c>
      <c r="B22" s="7">
        <v>26187663</v>
      </c>
      <c r="C22" s="7" t="s">
        <v>67</v>
      </c>
      <c r="D22" s="7" t="s">
        <v>543</v>
      </c>
      <c r="E22" s="7" t="s">
        <v>30</v>
      </c>
      <c r="F22" s="7" t="s">
        <v>36</v>
      </c>
      <c r="G22" s="8">
        <v>20</v>
      </c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</row>
    <row r="23" customHeight="1" spans="1:23">
      <c r="A23" s="7" t="str">
        <f t="array" ref="A23">_xlfn.XLOOKUP(B23,Tabela_ID_2026[INEP],Tabela_ID_2026[REGIONAL],"ne")</f>
        <v>REGIONAL 3</v>
      </c>
      <c r="B23" s="7">
        <v>26156261</v>
      </c>
      <c r="C23" s="7" t="s">
        <v>53</v>
      </c>
      <c r="D23" s="7" t="s">
        <v>543</v>
      </c>
      <c r="E23" s="7" t="s">
        <v>30</v>
      </c>
      <c r="F23" s="7" t="s">
        <v>36</v>
      </c>
      <c r="G23" s="8">
        <v>32</v>
      </c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</row>
    <row r="24" customHeight="1" spans="1:23">
      <c r="A24" s="7" t="str">
        <f t="array" ref="A24">_xlfn.XLOOKUP(B24,Tabela_ID_2026[INEP],Tabela_ID_2026[REGIONAL],"ne")</f>
        <v>REGIONAL 7</v>
      </c>
      <c r="B24" s="7">
        <v>26189070</v>
      </c>
      <c r="C24" s="7" t="s">
        <v>562</v>
      </c>
      <c r="D24" s="7" t="s">
        <v>543</v>
      </c>
      <c r="E24" s="7" t="s">
        <v>31</v>
      </c>
      <c r="F24" s="7" t="s">
        <v>36</v>
      </c>
      <c r="G24" s="8">
        <v>13</v>
      </c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</row>
    <row r="25" customHeight="1" spans="1:23">
      <c r="A25" s="7" t="str">
        <f t="array" ref="A25">_xlfn.XLOOKUP(B25,Tabela_ID_2026[INEP],Tabela_ID_2026[REGIONAL],"ne")</f>
        <v>REGIONAL 2</v>
      </c>
      <c r="B25" s="7">
        <v>26190168</v>
      </c>
      <c r="C25" s="7" t="s">
        <v>50</v>
      </c>
      <c r="D25" s="7" t="s">
        <v>543</v>
      </c>
      <c r="E25" s="7" t="s">
        <v>30</v>
      </c>
      <c r="F25" s="7" t="s">
        <v>36</v>
      </c>
      <c r="G25" s="8">
        <v>1</v>
      </c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</row>
    <row r="26" customHeight="1" spans="1:23">
      <c r="A26" s="7" t="str">
        <f t="array" ref="A26">_xlfn.XLOOKUP(B26,Tabela_ID_2026[INEP],Tabela_ID_2026[REGIONAL],"ne")</f>
        <v>REGIONAL 1</v>
      </c>
      <c r="B26" s="7">
        <v>26108950</v>
      </c>
      <c r="C26" s="7" t="s">
        <v>563</v>
      </c>
      <c r="D26" s="7" t="s">
        <v>548</v>
      </c>
      <c r="E26" s="7" t="s">
        <v>549</v>
      </c>
      <c r="F26" s="7" t="s">
        <v>540</v>
      </c>
      <c r="G26" s="8">
        <v>20</v>
      </c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</row>
    <row r="27" customHeight="1" spans="1:23">
      <c r="A27" s="7" t="str">
        <f t="array" ref="A27">_xlfn.XLOOKUP(B27,Tabela_ID_2026[INEP],Tabela_ID_2026[REGIONAL],"ne")</f>
        <v>REGIONAL 7</v>
      </c>
      <c r="B27" s="7">
        <v>26133765</v>
      </c>
      <c r="C27" s="7" t="s">
        <v>564</v>
      </c>
      <c r="D27" s="7" t="s">
        <v>554</v>
      </c>
      <c r="E27" s="7" t="s">
        <v>565</v>
      </c>
      <c r="F27" s="7" t="s">
        <v>36</v>
      </c>
      <c r="G27" s="8">
        <v>77</v>
      </c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</row>
    <row r="28" customHeight="1" spans="1:23">
      <c r="A28" s="7" t="str">
        <f t="array" ref="A28">_xlfn.XLOOKUP(B28,Tabela_ID_2026[INEP],Tabela_ID_2026[REGIONAL],"ne")</f>
        <v>REGIONAL 4</v>
      </c>
      <c r="B28" s="7">
        <v>26110920</v>
      </c>
      <c r="C28" s="7" t="s">
        <v>566</v>
      </c>
      <c r="D28" s="7" t="s">
        <v>567</v>
      </c>
      <c r="E28" s="7" t="s">
        <v>568</v>
      </c>
      <c r="F28" s="7" t="s">
        <v>561</v>
      </c>
      <c r="G28" s="8">
        <v>16</v>
      </c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</row>
    <row r="29" customHeight="1" spans="1:23">
      <c r="A29" s="7" t="str">
        <f t="array" ref="A29">_xlfn.XLOOKUP(B29,Tabela_ID_2026[INEP],Tabela_ID_2026[REGIONAL],"ne")</f>
        <v>REGIONAL 5</v>
      </c>
      <c r="B29" s="7">
        <v>26111659</v>
      </c>
      <c r="C29" s="7" t="s">
        <v>569</v>
      </c>
      <c r="D29" s="7" t="s">
        <v>570</v>
      </c>
      <c r="E29" s="7" t="s">
        <v>571</v>
      </c>
      <c r="F29" s="7" t="s">
        <v>540</v>
      </c>
      <c r="G29" s="8">
        <v>88</v>
      </c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</row>
    <row r="30" customHeight="1" spans="1:23">
      <c r="A30" s="7" t="str">
        <f t="array" ref="A30">_xlfn.XLOOKUP(B30,Tabela_ID_2026[INEP],Tabela_ID_2026[REGIONAL],"ne")</f>
        <v>REGIONAL 7</v>
      </c>
      <c r="B30" s="7">
        <v>26133783</v>
      </c>
      <c r="C30" s="7" t="s">
        <v>572</v>
      </c>
      <c r="D30" s="7" t="s">
        <v>539</v>
      </c>
      <c r="E30" s="7" t="s">
        <v>34</v>
      </c>
      <c r="F30" s="7" t="s">
        <v>540</v>
      </c>
      <c r="G30" s="8">
        <v>6</v>
      </c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</row>
    <row r="31" customHeight="1" spans="1:23">
      <c r="A31" s="7" t="str">
        <f t="array" ref="A31">_xlfn.XLOOKUP(B31,Tabela_ID_2026[INEP],Tabela_ID_2026[REGIONAL],"ne")</f>
        <v>REGIONAL 2</v>
      </c>
      <c r="B31" s="7">
        <v>26171554</v>
      </c>
      <c r="C31" s="7" t="s">
        <v>197</v>
      </c>
      <c r="D31" s="7" t="s">
        <v>539</v>
      </c>
      <c r="E31" s="7" t="s">
        <v>34</v>
      </c>
      <c r="F31" s="7" t="s">
        <v>540</v>
      </c>
      <c r="G31" s="8">
        <v>8</v>
      </c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</row>
    <row r="32" customHeight="1" spans="1:23">
      <c r="A32" s="7" t="str">
        <f t="array" ref="A32">_xlfn.XLOOKUP(B32,Tabela_ID_2026[INEP],Tabela_ID_2026[REGIONAL],"ne")</f>
        <v>REGIONAL 2</v>
      </c>
      <c r="B32" s="7">
        <v>26109972</v>
      </c>
      <c r="C32" s="7" t="s">
        <v>573</v>
      </c>
      <c r="D32" s="7" t="s">
        <v>574</v>
      </c>
      <c r="E32" s="7" t="s">
        <v>575</v>
      </c>
      <c r="F32" s="7" t="s">
        <v>36</v>
      </c>
      <c r="G32" s="8">
        <v>7</v>
      </c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</row>
    <row r="33" customHeight="1" spans="1:23">
      <c r="A33" s="7" t="str">
        <f t="array" ref="A33">_xlfn.XLOOKUP(B33,Tabela_ID_2026[INEP],Tabela_ID_2026[REGIONAL],"ne")</f>
        <v>REGIONAL 6</v>
      </c>
      <c r="B33" s="7">
        <v>26109328</v>
      </c>
      <c r="C33" s="7" t="s">
        <v>410</v>
      </c>
      <c r="D33" s="7" t="s">
        <v>539</v>
      </c>
      <c r="E33" s="7" t="s">
        <v>34</v>
      </c>
      <c r="F33" s="7" t="s">
        <v>540</v>
      </c>
      <c r="G33" s="8">
        <v>3</v>
      </c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4" customHeight="1" spans="1:23">
      <c r="A34" s="7" t="str">
        <f t="array" ref="A34">_xlfn.XLOOKUP(B34,Tabela_ID_2026[INEP],Tabela_ID_2026[REGIONAL],"ne")</f>
        <v>REGIONAL 6</v>
      </c>
      <c r="B34" s="7">
        <v>26111446</v>
      </c>
      <c r="C34" s="7" t="s">
        <v>413</v>
      </c>
      <c r="D34" s="7" t="s">
        <v>570</v>
      </c>
      <c r="E34" s="7" t="s">
        <v>576</v>
      </c>
      <c r="F34" s="7" t="s">
        <v>540</v>
      </c>
      <c r="G34" s="8">
        <v>26</v>
      </c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</row>
    <row r="35" customHeight="1" spans="1:23">
      <c r="A35" s="7" t="str">
        <f t="array" ref="A35">_xlfn.XLOOKUP(B35,Tabela_ID_2026[INEP],Tabela_ID_2026[REGIONAL],"ne")</f>
        <v>REGIONAL 4</v>
      </c>
      <c r="B35" s="7">
        <v>26145146</v>
      </c>
      <c r="C35" s="7" t="s">
        <v>298</v>
      </c>
      <c r="D35" s="7" t="s">
        <v>567</v>
      </c>
      <c r="E35" s="7" t="s">
        <v>568</v>
      </c>
      <c r="F35" s="7" t="s">
        <v>561</v>
      </c>
      <c r="G35" s="8">
        <v>1</v>
      </c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</row>
    <row r="36" customHeight="1" spans="1:23">
      <c r="A36" s="7" t="str">
        <f t="array" ref="A36">_xlfn.XLOOKUP(B36,Tabela_ID_2026[INEP],Tabela_ID_2026[REGIONAL],"ne")</f>
        <v>REGIONAL 1</v>
      </c>
      <c r="B36" s="7">
        <v>26144689</v>
      </c>
      <c r="C36" s="7" t="s">
        <v>577</v>
      </c>
      <c r="D36" s="7" t="s">
        <v>539</v>
      </c>
      <c r="E36" s="7" t="s">
        <v>34</v>
      </c>
      <c r="F36" s="7" t="s">
        <v>540</v>
      </c>
      <c r="G36" s="8">
        <v>9</v>
      </c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</row>
    <row r="37" customHeight="1" spans="1:23">
      <c r="A37" s="7" t="str">
        <f t="array" ref="A37">_xlfn.XLOOKUP(B37,Tabela_ID_2026[INEP],Tabela_ID_2026[REGIONAL],"ne")</f>
        <v>REGIONAL 2</v>
      </c>
      <c r="B37" s="7">
        <v>26108739</v>
      </c>
      <c r="C37" s="7" t="s">
        <v>206</v>
      </c>
      <c r="D37" s="7" t="s">
        <v>539</v>
      </c>
      <c r="E37" s="7" t="s">
        <v>34</v>
      </c>
      <c r="F37" s="7" t="s">
        <v>540</v>
      </c>
      <c r="G37" s="8">
        <v>4</v>
      </c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</row>
    <row r="38" customHeight="1" spans="1:23">
      <c r="A38" s="7" t="str">
        <f t="array" ref="A38">_xlfn.XLOOKUP(B38,Tabela_ID_2026[INEP],Tabela_ID_2026[REGIONAL],"ne")</f>
        <v>REGIONAL 1</v>
      </c>
      <c r="B38" s="7">
        <v>26110873</v>
      </c>
      <c r="C38" s="7" t="s">
        <v>103</v>
      </c>
      <c r="D38" s="7" t="s">
        <v>570</v>
      </c>
      <c r="E38" s="7" t="s">
        <v>571</v>
      </c>
      <c r="F38" s="7" t="s">
        <v>540</v>
      </c>
      <c r="G38" s="8">
        <v>33</v>
      </c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</row>
    <row r="39" customHeight="1" spans="1:23">
      <c r="A39" s="7" t="str">
        <f t="array" ref="A39">_xlfn.XLOOKUP(B39,Tabela_ID_2026[INEP],Tabela_ID_2026[REGIONAL],"ne")</f>
        <v>REGIONAL 4</v>
      </c>
      <c r="B39" s="7">
        <v>26109344</v>
      </c>
      <c r="C39" s="7" t="s">
        <v>301</v>
      </c>
      <c r="D39" s="7" t="s">
        <v>570</v>
      </c>
      <c r="E39" s="7" t="s">
        <v>578</v>
      </c>
      <c r="F39" s="7" t="s">
        <v>540</v>
      </c>
      <c r="G39" s="8">
        <v>30</v>
      </c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</row>
    <row r="40" customHeight="1" spans="1:23">
      <c r="A40" s="7" t="str">
        <f t="array" ref="A40">_xlfn.XLOOKUP(B40,Tabela_ID_2026[INEP],Tabela_ID_2026[REGIONAL],"ne")</f>
        <v>REGIONAL 2</v>
      </c>
      <c r="B40" s="7">
        <v>26110261</v>
      </c>
      <c r="C40" s="7" t="s">
        <v>209</v>
      </c>
      <c r="D40" s="7" t="s">
        <v>539</v>
      </c>
      <c r="E40" s="7" t="s">
        <v>34</v>
      </c>
      <c r="F40" s="7" t="s">
        <v>540</v>
      </c>
      <c r="G40" s="8">
        <v>10</v>
      </c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</row>
    <row r="41" customHeight="1" spans="1:23">
      <c r="A41" s="7" t="str">
        <f t="array" ref="A41">_xlfn.XLOOKUP(B41,Tabela_ID_2026[INEP],Tabela_ID_2026[REGIONAL],"ne")</f>
        <v>REGIONAL 1</v>
      </c>
      <c r="B41" s="7">
        <v>26109980</v>
      </c>
      <c r="C41" s="7" t="s">
        <v>107</v>
      </c>
      <c r="D41" s="7" t="s">
        <v>548</v>
      </c>
      <c r="E41" s="7" t="s">
        <v>549</v>
      </c>
      <c r="F41" s="7" t="s">
        <v>540</v>
      </c>
      <c r="G41" s="8">
        <v>22</v>
      </c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</row>
    <row r="42" customHeight="1" spans="1:23">
      <c r="A42" s="7" t="str">
        <f t="array" ref="A42">_xlfn.XLOOKUP(B42,Tabela_ID_2026[INEP],Tabela_ID_2026[REGIONAL],"ne")</f>
        <v>REGIONAL 5</v>
      </c>
      <c r="B42" s="7">
        <v>26109689</v>
      </c>
      <c r="C42" s="7" t="s">
        <v>334</v>
      </c>
      <c r="D42" s="7" t="s">
        <v>539</v>
      </c>
      <c r="E42" s="7" t="s">
        <v>35</v>
      </c>
      <c r="F42" s="7" t="s">
        <v>540</v>
      </c>
      <c r="G42" s="8">
        <v>11</v>
      </c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</row>
    <row r="43" customHeight="1" spans="1:23">
      <c r="A43" s="7" t="str">
        <f t="array" ref="A43">_xlfn.XLOOKUP(B43,Tabela_ID_2026[INEP],Tabela_ID_2026[REGIONAL],"ne")</f>
        <v>REGIONAL 7</v>
      </c>
      <c r="B43" s="7">
        <v>26110911</v>
      </c>
      <c r="C43" s="7" t="s">
        <v>579</v>
      </c>
      <c r="D43" s="7" t="s">
        <v>567</v>
      </c>
      <c r="E43" s="7" t="s">
        <v>568</v>
      </c>
      <c r="F43" s="7" t="s">
        <v>561</v>
      </c>
      <c r="G43" s="8">
        <v>11</v>
      </c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</row>
    <row r="44" customHeight="1" spans="1:23">
      <c r="A44" s="7" t="str">
        <f t="array" ref="A44">_xlfn.XLOOKUP(B44,Tabela_ID_2026[INEP],Tabela_ID_2026[REGIONAL],"ne")</f>
        <v>REGIONAL 2</v>
      </c>
      <c r="B44" s="7">
        <v>26110334</v>
      </c>
      <c r="C44" s="7" t="s">
        <v>580</v>
      </c>
      <c r="D44" s="7" t="s">
        <v>539</v>
      </c>
      <c r="E44" s="7" t="s">
        <v>34</v>
      </c>
      <c r="F44" s="7" t="s">
        <v>540</v>
      </c>
      <c r="G44" s="8">
        <v>5</v>
      </c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</row>
    <row r="45" customHeight="1" spans="1:23">
      <c r="A45" s="7" t="str">
        <f t="array" ref="A45">_xlfn.XLOOKUP(B45,Tabela_ID_2026[INEP],Tabela_ID_2026[REGIONAL],"ne")</f>
        <v>REGIONAL 5</v>
      </c>
      <c r="B45" s="7">
        <v>26174758</v>
      </c>
      <c r="C45" s="7" t="s">
        <v>340</v>
      </c>
      <c r="D45" s="7" t="s">
        <v>570</v>
      </c>
      <c r="E45" s="7" t="s">
        <v>576</v>
      </c>
      <c r="F45" s="7" t="s">
        <v>540</v>
      </c>
      <c r="G45" s="8">
        <v>20</v>
      </c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</row>
    <row r="46" customHeight="1" spans="1:23">
      <c r="A46" s="7" t="str">
        <f t="array" ref="A46">_xlfn.XLOOKUP(B46,Tabela_ID_2026[INEP],Tabela_ID_2026[REGIONAL],"ne")</f>
        <v>REGIONAL 7</v>
      </c>
      <c r="B46" s="7">
        <v>26108895</v>
      </c>
      <c r="C46" s="7" t="s">
        <v>498</v>
      </c>
      <c r="D46" s="7" t="s">
        <v>539</v>
      </c>
      <c r="E46" s="7" t="s">
        <v>34</v>
      </c>
      <c r="F46" s="7" t="s">
        <v>540</v>
      </c>
      <c r="G46" s="8">
        <v>6</v>
      </c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</row>
    <row r="47" customHeight="1" spans="1:23">
      <c r="A47" s="7" t="str">
        <f t="array" ref="A47">_xlfn.XLOOKUP(B47,Tabela_ID_2026[INEP],Tabela_ID_2026[REGIONAL],"ne")</f>
        <v>REGIONAL 1</v>
      </c>
      <c r="B47" s="7">
        <v>26108496</v>
      </c>
      <c r="C47" s="7" t="s">
        <v>110</v>
      </c>
      <c r="D47" s="7" t="s">
        <v>539</v>
      </c>
      <c r="E47" s="7" t="s">
        <v>34</v>
      </c>
      <c r="F47" s="7" t="s">
        <v>540</v>
      </c>
      <c r="G47" s="8">
        <v>15</v>
      </c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</row>
    <row r="48" customHeight="1" spans="1:23">
      <c r="A48" s="7" t="str">
        <f t="array" ref="A48">_xlfn.XLOOKUP(B48,Tabela_ID_2026[INEP],Tabela_ID_2026[REGIONAL],"ne")</f>
        <v>REGIONAL 7</v>
      </c>
      <c r="B48" s="7">
        <v>26188120</v>
      </c>
      <c r="C48" s="7" t="s">
        <v>501</v>
      </c>
      <c r="D48" s="7" t="s">
        <v>548</v>
      </c>
      <c r="E48" s="7" t="s">
        <v>549</v>
      </c>
      <c r="F48" s="7" t="s">
        <v>540</v>
      </c>
      <c r="G48" s="8">
        <v>17</v>
      </c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</row>
    <row r="49" customHeight="1" spans="1:23">
      <c r="A49" s="7" t="str">
        <f t="array" ref="A49">_xlfn.XLOOKUP(B49,Tabela_ID_2026[INEP],Tabela_ID_2026[REGIONAL],"ne")</f>
        <v>REGIONAL 1</v>
      </c>
      <c r="B49" s="7">
        <v>26109026</v>
      </c>
      <c r="C49" s="7" t="s">
        <v>581</v>
      </c>
      <c r="D49" s="7" t="s">
        <v>539</v>
      </c>
      <c r="E49" s="7" t="s">
        <v>34</v>
      </c>
      <c r="F49" s="7" t="s">
        <v>540</v>
      </c>
      <c r="G49" s="8">
        <v>19</v>
      </c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</row>
    <row r="50" customHeight="1" spans="1:23">
      <c r="A50" s="7" t="str">
        <f t="array" ref="A50">_xlfn.XLOOKUP(B50,Tabela_ID_2026[INEP],Tabela_ID_2026[REGIONAL],"ne")</f>
        <v>REGIONAL 1</v>
      </c>
      <c r="B50" s="7">
        <v>26110962</v>
      </c>
      <c r="C50" s="7" t="s">
        <v>113</v>
      </c>
      <c r="D50" s="7" t="s">
        <v>539</v>
      </c>
      <c r="E50" s="7" t="s">
        <v>34</v>
      </c>
      <c r="F50" s="7" t="s">
        <v>540</v>
      </c>
      <c r="G50" s="8">
        <v>3</v>
      </c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</row>
    <row r="51" customHeight="1" spans="1:23">
      <c r="A51" s="7" t="str">
        <f t="array" ref="A51">_xlfn.XLOOKUP(B51,Tabela_ID_2026[INEP],Tabela_ID_2026[REGIONAL],"ne")</f>
        <v>REGIONAL 2</v>
      </c>
      <c r="B51" s="7">
        <v>26541734</v>
      </c>
      <c r="C51" s="7" t="s">
        <v>221</v>
      </c>
      <c r="D51" s="7" t="s">
        <v>570</v>
      </c>
      <c r="E51" s="7" t="s">
        <v>576</v>
      </c>
      <c r="F51" s="7" t="s">
        <v>557</v>
      </c>
      <c r="G51" s="8">
        <v>12</v>
      </c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</row>
    <row r="52" customHeight="1" spans="1:23">
      <c r="A52" s="7" t="str">
        <f t="array" ref="A52">_xlfn.XLOOKUP(B52,Tabela_ID_2026[INEP],Tabela_ID_2026[REGIONAL],"ne")</f>
        <v>REGIONAL 2</v>
      </c>
      <c r="B52" s="7">
        <v>26110369</v>
      </c>
      <c r="C52" s="7" t="s">
        <v>582</v>
      </c>
      <c r="D52" s="7" t="s">
        <v>539</v>
      </c>
      <c r="E52" s="7" t="s">
        <v>34</v>
      </c>
      <c r="F52" s="7" t="s">
        <v>36</v>
      </c>
      <c r="G52" s="8">
        <v>1</v>
      </c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</row>
    <row r="53" customHeight="1" spans="1:23">
      <c r="A53" s="7" t="str">
        <f t="array" ref="A53">_xlfn.XLOOKUP(B53,Tabela_ID_2026[INEP],Tabela_ID_2026[REGIONAL],"ne")</f>
        <v>REGIONAL 4</v>
      </c>
      <c r="B53" s="7">
        <v>26183129</v>
      </c>
      <c r="C53" s="7" t="s">
        <v>307</v>
      </c>
      <c r="D53" s="7" t="s">
        <v>548</v>
      </c>
      <c r="E53" s="7" t="s">
        <v>549</v>
      </c>
      <c r="F53" s="7" t="s">
        <v>540</v>
      </c>
      <c r="G53" s="8">
        <v>5</v>
      </c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</row>
    <row r="54" customHeight="1" spans="1:23">
      <c r="A54" s="7" t="str">
        <f t="array" ref="A54">_xlfn.XLOOKUP(B54,Tabela_ID_2026[INEP],Tabela_ID_2026[REGIONAL],"ne")</f>
        <v>REGIONAL 2</v>
      </c>
      <c r="B54" s="7">
        <v>26174707</v>
      </c>
      <c r="C54" s="7" t="s">
        <v>583</v>
      </c>
      <c r="D54" s="7" t="s">
        <v>539</v>
      </c>
      <c r="E54" s="7" t="s">
        <v>34</v>
      </c>
      <c r="F54" s="7" t="s">
        <v>540</v>
      </c>
      <c r="G54" s="8">
        <v>7</v>
      </c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</row>
    <row r="55" customHeight="1" spans="1:23">
      <c r="A55" s="7" t="str">
        <f t="array" ref="A55">_xlfn.XLOOKUP(B55,Tabela_ID_2026[INEP],Tabela_ID_2026[REGIONAL],"ne")</f>
        <v>REGIONAL 5</v>
      </c>
      <c r="B55" s="7">
        <v>26182246</v>
      </c>
      <c r="C55" s="7" t="s">
        <v>584</v>
      </c>
      <c r="D55" s="7" t="s">
        <v>570</v>
      </c>
      <c r="E55" s="7" t="s">
        <v>576</v>
      </c>
      <c r="F55" s="7" t="s">
        <v>540</v>
      </c>
      <c r="G55" s="8">
        <v>25</v>
      </c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</row>
    <row r="56" customHeight="1" spans="1:23">
      <c r="A56" s="7" t="str">
        <f t="array" ref="A56">_xlfn.XLOOKUP(B56,Tabela_ID_2026[INEP],Tabela_ID_2026[REGIONAL],"ne")</f>
        <v>REGIONAL 6</v>
      </c>
      <c r="B56" s="7">
        <v>26109476</v>
      </c>
      <c r="C56" s="7" t="s">
        <v>419</v>
      </c>
      <c r="D56" s="7" t="s">
        <v>570</v>
      </c>
      <c r="E56" s="7" t="s">
        <v>571</v>
      </c>
      <c r="F56" s="7" t="s">
        <v>540</v>
      </c>
      <c r="G56" s="8">
        <v>11</v>
      </c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</row>
    <row r="57" customHeight="1" spans="1:23">
      <c r="A57" s="7" t="str">
        <f t="array" ref="A57">_xlfn.XLOOKUP(B57,Tabela_ID_2026[INEP],Tabela_ID_2026[REGIONAL],"ne")</f>
        <v>REGIONAL 7</v>
      </c>
      <c r="B57" s="7">
        <v>26109956</v>
      </c>
      <c r="C57" s="7" t="s">
        <v>504</v>
      </c>
      <c r="D57" s="7" t="s">
        <v>539</v>
      </c>
      <c r="E57" s="7" t="s">
        <v>34</v>
      </c>
      <c r="F57" s="7" t="s">
        <v>557</v>
      </c>
      <c r="G57" s="8">
        <v>14</v>
      </c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</row>
    <row r="58" customHeight="1" spans="1:23">
      <c r="A58" s="7" t="str">
        <f t="array" ref="A58">_xlfn.XLOOKUP(B58,Tabela_ID_2026[INEP],Tabela_ID_2026[REGIONAL],"ne")</f>
        <v>REGIONAL 3</v>
      </c>
      <c r="B58" s="7">
        <v>26167301</v>
      </c>
      <c r="C58" s="7" t="s">
        <v>268</v>
      </c>
      <c r="D58" s="7" t="s">
        <v>548</v>
      </c>
      <c r="E58" s="7" t="s">
        <v>549</v>
      </c>
      <c r="F58" s="7" t="s">
        <v>540</v>
      </c>
      <c r="G58" s="8">
        <v>1</v>
      </c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</row>
    <row r="59" customHeight="1" spans="1:23">
      <c r="A59" s="7" t="str">
        <f t="array" ref="A59">_xlfn.XLOOKUP(B59,Tabela_ID_2026[INEP],Tabela_ID_2026[REGIONAL],"ne")</f>
        <v>REGIONAL 7</v>
      </c>
      <c r="B59" s="7">
        <v>26109190</v>
      </c>
      <c r="C59" s="7" t="s">
        <v>585</v>
      </c>
      <c r="D59" s="7" t="s">
        <v>539</v>
      </c>
      <c r="E59" s="7" t="s">
        <v>34</v>
      </c>
      <c r="F59" s="7" t="s">
        <v>540</v>
      </c>
      <c r="G59" s="8">
        <v>4</v>
      </c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</row>
    <row r="60" customHeight="1" spans="1:23">
      <c r="A60" s="7" t="str">
        <f t="array" ref="A60">_xlfn.XLOOKUP(B60,Tabela_ID_2026[INEP],Tabela_ID_2026[REGIONAL],"ne")</f>
        <v>REGIONAL 1</v>
      </c>
      <c r="B60" s="7">
        <v>26108461</v>
      </c>
      <c r="C60" s="7" t="s">
        <v>586</v>
      </c>
      <c r="D60" s="7" t="s">
        <v>539</v>
      </c>
      <c r="E60" s="7" t="s">
        <v>35</v>
      </c>
      <c r="F60" s="7" t="s">
        <v>540</v>
      </c>
      <c r="G60" s="8">
        <v>18</v>
      </c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</row>
    <row r="61" customHeight="1" spans="1:23">
      <c r="A61" s="7" t="str">
        <f t="array" ref="A61">_xlfn.XLOOKUP(B61,Tabela_ID_2026[INEP],Tabela_ID_2026[REGIONAL],"ne")</f>
        <v>REGIONAL 2</v>
      </c>
      <c r="B61" s="7">
        <v>26177595</v>
      </c>
      <c r="C61" s="7" t="s">
        <v>233</v>
      </c>
      <c r="D61" s="7" t="s">
        <v>539</v>
      </c>
      <c r="E61" s="7" t="s">
        <v>35</v>
      </c>
      <c r="F61" s="7" t="s">
        <v>540</v>
      </c>
      <c r="G61" s="8">
        <v>13</v>
      </c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</row>
    <row r="62" customHeight="1" spans="1:23">
      <c r="A62" s="7" t="str">
        <f t="array" ref="A62">_xlfn.XLOOKUP(B62,Tabela_ID_2026[INEP],Tabela_ID_2026[REGIONAL],"ne")</f>
        <v>REGIONAL 2</v>
      </c>
      <c r="B62" s="7">
        <v>26110342</v>
      </c>
      <c r="C62" s="7" t="s">
        <v>236</v>
      </c>
      <c r="D62" s="7" t="s">
        <v>539</v>
      </c>
      <c r="E62" s="7" t="s">
        <v>35</v>
      </c>
      <c r="F62" s="7" t="s">
        <v>540</v>
      </c>
      <c r="G62" s="8">
        <v>4</v>
      </c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</row>
    <row r="63" customHeight="1" spans="1:23">
      <c r="A63" s="7" t="str">
        <f t="array" ref="A63">_xlfn.XLOOKUP(B63,Tabela_ID_2026[INEP],Tabela_ID_2026[REGIONAL],"ne")</f>
        <v>REGIONAL 6</v>
      </c>
      <c r="B63" s="7">
        <v>26155036</v>
      </c>
      <c r="C63" s="7" t="s">
        <v>587</v>
      </c>
      <c r="D63" s="7" t="s">
        <v>554</v>
      </c>
      <c r="E63" s="7" t="s">
        <v>588</v>
      </c>
      <c r="F63" s="7" t="s">
        <v>36</v>
      </c>
      <c r="G63" s="8">
        <v>28</v>
      </c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</row>
    <row r="64" customHeight="1" spans="1:23">
      <c r="A64" s="7" t="str">
        <f t="array" ref="A64">_xlfn.XLOOKUP(B64,Tabela_ID_2026[INEP],Tabela_ID_2026[REGIONAL],"ne")</f>
        <v>REGIONAL 1</v>
      </c>
      <c r="B64" s="7">
        <v>26111373</v>
      </c>
      <c r="C64" s="7" t="s">
        <v>128</v>
      </c>
      <c r="D64" s="7" t="s">
        <v>539</v>
      </c>
      <c r="E64" s="7" t="s">
        <v>34</v>
      </c>
      <c r="F64" s="7" t="s">
        <v>540</v>
      </c>
      <c r="G64" s="8">
        <v>18</v>
      </c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</row>
    <row r="65" customHeight="1" spans="1:23">
      <c r="A65" s="7" t="str">
        <f t="array" ref="A65">_xlfn.XLOOKUP(B65,Tabela_ID_2026[INEP],Tabela_ID_2026[REGIONAL],"ne")</f>
        <v>REGIONAL 1</v>
      </c>
      <c r="B65" s="7">
        <v>26109247</v>
      </c>
      <c r="C65" s="7" t="s">
        <v>131</v>
      </c>
      <c r="D65" s="7" t="s">
        <v>539</v>
      </c>
      <c r="E65" s="7" t="s">
        <v>34</v>
      </c>
      <c r="F65" s="7" t="s">
        <v>540</v>
      </c>
      <c r="G65" s="8">
        <v>14</v>
      </c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</row>
    <row r="66" customHeight="1" spans="1:23">
      <c r="A66" s="7" t="str">
        <f t="array" ref="A66">_xlfn.XLOOKUP(B66,Tabela_ID_2026[INEP],Tabela_ID_2026[REGIONAL],"ne")</f>
        <v>REGIONAL 1</v>
      </c>
      <c r="B66" s="7">
        <v>26109603</v>
      </c>
      <c r="C66" s="7" t="s">
        <v>134</v>
      </c>
      <c r="D66" s="7" t="s">
        <v>570</v>
      </c>
      <c r="E66" s="7" t="s">
        <v>571</v>
      </c>
      <c r="F66" s="7" t="s">
        <v>540</v>
      </c>
      <c r="G66" s="8">
        <v>5</v>
      </c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</row>
    <row r="67" customHeight="1" spans="1:23">
      <c r="A67" s="7" t="str">
        <f t="array" ref="A67">_xlfn.XLOOKUP(B67,Tabela_ID_2026[INEP],Tabela_ID_2026[REGIONAL],"ne")</f>
        <v>REGIONAL 7</v>
      </c>
      <c r="B67" s="7">
        <v>26188147</v>
      </c>
      <c r="C67" s="7" t="s">
        <v>510</v>
      </c>
      <c r="D67" s="7" t="s">
        <v>570</v>
      </c>
      <c r="E67" s="7" t="s">
        <v>576</v>
      </c>
      <c r="F67" s="7" t="s">
        <v>540</v>
      </c>
      <c r="G67" s="8">
        <v>19</v>
      </c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</row>
    <row r="68" customHeight="1" spans="1:23">
      <c r="A68" s="7" t="str">
        <f t="array" ref="A68">_xlfn.XLOOKUP(B68,Tabela_ID_2026[INEP],Tabela_ID_2026[REGIONAL],"ne")</f>
        <v>REGIONAL 5</v>
      </c>
      <c r="B68" s="7">
        <v>26111543</v>
      </c>
      <c r="C68" s="7" t="s">
        <v>352</v>
      </c>
      <c r="D68" s="7" t="s">
        <v>539</v>
      </c>
      <c r="E68" s="7" t="s">
        <v>34</v>
      </c>
      <c r="F68" s="7" t="s">
        <v>540</v>
      </c>
      <c r="G68" s="8">
        <v>7</v>
      </c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</row>
    <row r="69" customHeight="1" spans="1:23">
      <c r="A69" s="7" t="str">
        <f t="array" ref="A69">_xlfn.XLOOKUP(B69,Tabela_ID_2026[INEP],Tabela_ID_2026[REGIONAL],"ne")</f>
        <v>REGIONAL 1</v>
      </c>
      <c r="B69" s="7">
        <v>26111110</v>
      </c>
      <c r="C69" s="7" t="s">
        <v>140</v>
      </c>
      <c r="D69" s="7" t="s">
        <v>539</v>
      </c>
      <c r="E69" s="7" t="s">
        <v>35</v>
      </c>
      <c r="F69" s="7" t="s">
        <v>540</v>
      </c>
      <c r="G69" s="8">
        <v>21</v>
      </c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</row>
    <row r="70" customHeight="1" spans="1:23">
      <c r="A70" s="7" t="str">
        <f t="array" ref="A70">_xlfn.XLOOKUP(B70,Tabela_ID_2026[INEP],Tabela_ID_2026[REGIONAL],"ne")</f>
        <v>REGIONAL 1</v>
      </c>
      <c r="B70" s="7">
        <v>26109620</v>
      </c>
      <c r="C70" s="7" t="s">
        <v>143</v>
      </c>
      <c r="D70" s="7" t="s">
        <v>539</v>
      </c>
      <c r="E70" s="7" t="s">
        <v>34</v>
      </c>
      <c r="F70" s="7" t="s">
        <v>540</v>
      </c>
      <c r="G70" s="8">
        <v>18</v>
      </c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</row>
    <row r="71" customHeight="1" spans="1:23">
      <c r="A71" s="7" t="str">
        <f t="array" ref="A71">_xlfn.XLOOKUP(B71,Tabela_ID_2026[INEP],Tabela_ID_2026[REGIONAL],"ne")</f>
        <v>REGIONAL 5</v>
      </c>
      <c r="B71" s="7">
        <v>26108844</v>
      </c>
      <c r="C71" s="7" t="s">
        <v>355</v>
      </c>
      <c r="D71" s="7" t="s">
        <v>554</v>
      </c>
      <c r="E71" s="7" t="s">
        <v>555</v>
      </c>
      <c r="F71" s="7" t="s">
        <v>36</v>
      </c>
      <c r="G71" s="8">
        <v>61</v>
      </c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</row>
    <row r="72" customHeight="1" spans="1:23">
      <c r="A72" s="7" t="str">
        <f t="array" ref="A72">_xlfn.XLOOKUP(B72,Tabela_ID_2026[INEP],Tabela_ID_2026[REGIONAL],"ne")</f>
        <v>REGIONAL 6</v>
      </c>
      <c r="B72" s="7">
        <v>26155044</v>
      </c>
      <c r="C72" s="7" t="s">
        <v>425</v>
      </c>
      <c r="D72" s="7" t="s">
        <v>570</v>
      </c>
      <c r="E72" s="7" t="s">
        <v>576</v>
      </c>
      <c r="F72" s="7" t="s">
        <v>540</v>
      </c>
      <c r="G72" s="8">
        <v>27</v>
      </c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</row>
    <row r="73" customHeight="1" spans="1:23">
      <c r="A73" s="7" t="str">
        <f t="array" ref="A73">_xlfn.XLOOKUP(B73,Tabela_ID_2026[INEP],Tabela_ID_2026[REGIONAL],"ne")</f>
        <v>REGIONAL 6</v>
      </c>
      <c r="B73" s="7">
        <v>26111578</v>
      </c>
      <c r="C73" s="7" t="s">
        <v>589</v>
      </c>
      <c r="D73" s="7" t="s">
        <v>554</v>
      </c>
      <c r="E73" s="7" t="s">
        <v>555</v>
      </c>
      <c r="F73" s="7" t="s">
        <v>36</v>
      </c>
      <c r="G73" s="8">
        <v>59</v>
      </c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</row>
    <row r="74" customHeight="1" spans="1:23">
      <c r="A74" s="7" t="str">
        <f t="array" ref="A74">_xlfn.XLOOKUP(B74,Tabela_ID_2026[INEP],Tabela_ID_2026[REGIONAL],"ne")</f>
        <v>REGIONAL 5</v>
      </c>
      <c r="B74" s="7">
        <v>26111381</v>
      </c>
      <c r="C74" s="7" t="s">
        <v>590</v>
      </c>
      <c r="D74" s="7" t="s">
        <v>574</v>
      </c>
      <c r="E74" s="7" t="s">
        <v>575</v>
      </c>
      <c r="F74" s="7" t="s">
        <v>36</v>
      </c>
      <c r="G74" s="8">
        <v>2</v>
      </c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</row>
    <row r="75" customHeight="1" spans="1:23">
      <c r="A75" s="7" t="str">
        <f t="array" ref="A75">_xlfn.XLOOKUP(B75,Tabela_ID_2026[INEP],Tabela_ID_2026[REGIONAL],"ne")</f>
        <v>REGIONAL 2</v>
      </c>
      <c r="B75" s="7">
        <v>26139987</v>
      </c>
      <c r="C75" s="7" t="s">
        <v>242</v>
      </c>
      <c r="D75" s="7" t="s">
        <v>570</v>
      </c>
      <c r="E75" s="7" t="s">
        <v>591</v>
      </c>
      <c r="F75" s="7" t="s">
        <v>557</v>
      </c>
      <c r="G75" s="8">
        <v>16</v>
      </c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</row>
    <row r="76" customHeight="1" spans="1:23">
      <c r="A76" s="7" t="str">
        <f t="array" ref="A76">_xlfn.XLOOKUP(B76,Tabela_ID_2026[INEP],Tabela_ID_2026[REGIONAL],"ne")</f>
        <v>REGIONAL 7</v>
      </c>
      <c r="B76" s="7">
        <v>26109417</v>
      </c>
      <c r="C76" s="7" t="s">
        <v>513</v>
      </c>
      <c r="D76" s="7" t="s">
        <v>539</v>
      </c>
      <c r="E76" s="7" t="s">
        <v>34</v>
      </c>
      <c r="F76" s="7" t="s">
        <v>540</v>
      </c>
      <c r="G76" s="8">
        <v>10</v>
      </c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</row>
    <row r="77" customHeight="1" spans="1:23">
      <c r="A77" s="7" t="str">
        <f t="array" ref="A77">_xlfn.XLOOKUP(B77,Tabela_ID_2026[INEP],Tabela_ID_2026[REGIONAL],"ne")</f>
        <v>REGIONAL 5</v>
      </c>
      <c r="B77" s="7">
        <v>26108763</v>
      </c>
      <c r="C77" s="7" t="s">
        <v>365</v>
      </c>
      <c r="D77" s="7" t="s">
        <v>570</v>
      </c>
      <c r="E77" s="7" t="s">
        <v>576</v>
      </c>
      <c r="F77" s="7" t="s">
        <v>540</v>
      </c>
      <c r="G77" s="8">
        <v>14</v>
      </c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</row>
    <row r="78" customHeight="1" spans="1:23">
      <c r="A78" s="7" t="str">
        <f t="array" ref="A78">_xlfn.XLOOKUP(B78,Tabela_ID_2026[INEP],Tabela_ID_2026[REGIONAL],"ne")</f>
        <v>ne</v>
      </c>
      <c r="B78" s="7">
        <v>26100220</v>
      </c>
      <c r="C78" s="7" t="s">
        <v>428</v>
      </c>
      <c r="D78" s="7" t="s">
        <v>539</v>
      </c>
      <c r="E78" s="7" t="s">
        <v>34</v>
      </c>
      <c r="F78" s="7" t="s">
        <v>540</v>
      </c>
      <c r="G78" s="8">
        <v>15</v>
      </c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</row>
    <row r="79" customHeight="1" spans="1:23">
      <c r="A79" s="7" t="str">
        <f t="array" ref="A79">_xlfn.XLOOKUP(B79,Tabela_ID_2026[INEP],Tabela_ID_2026[REGIONAL],"ne")</f>
        <v>REGIONAL 7</v>
      </c>
      <c r="B79" s="7">
        <v>26109743</v>
      </c>
      <c r="C79" s="7" t="s">
        <v>516</v>
      </c>
      <c r="D79" s="7" t="s">
        <v>567</v>
      </c>
      <c r="E79" s="7" t="s">
        <v>592</v>
      </c>
      <c r="F79" s="7" t="s">
        <v>561</v>
      </c>
      <c r="G79" s="8">
        <v>13</v>
      </c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</row>
    <row r="80" customHeight="1" spans="1:23">
      <c r="A80" s="7" t="str">
        <f t="array" ref="A80">_xlfn.XLOOKUP(B80,Tabela_ID_2026[INEP],Tabela_ID_2026[REGIONAL],"ne")</f>
        <v>REGIONAL 5</v>
      </c>
      <c r="B80" s="7">
        <v>26111152</v>
      </c>
      <c r="C80" s="7" t="s">
        <v>368</v>
      </c>
      <c r="D80" s="7" t="s">
        <v>539</v>
      </c>
      <c r="E80" s="7" t="s">
        <v>34</v>
      </c>
      <c r="F80" s="7" t="s">
        <v>540</v>
      </c>
      <c r="G80" s="8">
        <v>18</v>
      </c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</row>
    <row r="81" customHeight="1" spans="1:23">
      <c r="A81" s="7" t="str">
        <f t="array" ref="A81">_xlfn.XLOOKUP(B81,Tabela_ID_2026[INEP],Tabela_ID_2026[REGIONAL],"ne")</f>
        <v>REGIONAL 2</v>
      </c>
      <c r="B81" s="7">
        <v>26110202</v>
      </c>
      <c r="C81" s="7" t="s">
        <v>248</v>
      </c>
      <c r="D81" s="7" t="s">
        <v>567</v>
      </c>
      <c r="E81" s="7" t="s">
        <v>592</v>
      </c>
      <c r="F81" s="7" t="s">
        <v>561</v>
      </c>
      <c r="G81" s="8">
        <v>9</v>
      </c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</row>
    <row r="82" customHeight="1" spans="1:23">
      <c r="A82" s="7" t="str">
        <f t="array" ref="A82">_xlfn.XLOOKUP(B82,Tabela_ID_2026[INEP],Tabela_ID_2026[REGIONAL],"ne")</f>
        <v>REGIONAL 2</v>
      </c>
      <c r="B82" s="7">
        <v>26177579</v>
      </c>
      <c r="C82" s="7" t="s">
        <v>251</v>
      </c>
      <c r="D82" s="7" t="s">
        <v>539</v>
      </c>
      <c r="E82" s="7" t="s">
        <v>34</v>
      </c>
      <c r="F82" s="7" t="s">
        <v>557</v>
      </c>
      <c r="G82" s="8">
        <v>10</v>
      </c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</row>
    <row r="83" customHeight="1" spans="1:23">
      <c r="A83" s="7" t="str">
        <f t="array" ref="A83">_xlfn.XLOOKUP(B83,Tabela_ID_2026[INEP],Tabela_ID_2026[REGIONAL],"ne")</f>
        <v>REGIONAL 6</v>
      </c>
      <c r="B83" s="7">
        <v>26110822</v>
      </c>
      <c r="C83" s="7" t="s">
        <v>434</v>
      </c>
      <c r="D83" s="7" t="s">
        <v>559</v>
      </c>
      <c r="E83" s="7" t="s">
        <v>560</v>
      </c>
      <c r="F83" s="7" t="s">
        <v>561</v>
      </c>
      <c r="G83" s="8">
        <v>1</v>
      </c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</row>
    <row r="84" customHeight="1" spans="1:23">
      <c r="A84" s="7" t="str">
        <f t="array" ref="A84">_xlfn.XLOOKUP(B84,Tabela_ID_2026[INEP],Tabela_ID_2026[REGIONAL],"ne")</f>
        <v>REGIONAL 1</v>
      </c>
      <c r="B84" s="7">
        <v>26108968</v>
      </c>
      <c r="C84" s="7" t="s">
        <v>593</v>
      </c>
      <c r="D84" s="7" t="s">
        <v>567</v>
      </c>
      <c r="E84" s="7" t="s">
        <v>568</v>
      </c>
      <c r="F84" s="7" t="s">
        <v>561</v>
      </c>
      <c r="G84" s="8">
        <v>1</v>
      </c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</row>
    <row r="85" customHeight="1" spans="1:23">
      <c r="A85" s="7" t="str">
        <f t="array" ref="A85">_xlfn.XLOOKUP(B85,Tabela_ID_2026[INEP],Tabela_ID_2026[REGIONAL],"ne")</f>
        <v>REGIONAL 6</v>
      </c>
      <c r="B85" s="7">
        <v>26111179</v>
      </c>
      <c r="C85" s="7" t="s">
        <v>437</v>
      </c>
      <c r="D85" s="7" t="s">
        <v>548</v>
      </c>
      <c r="E85" s="7" t="s">
        <v>549</v>
      </c>
      <c r="F85" s="7" t="s">
        <v>540</v>
      </c>
      <c r="G85" s="8">
        <v>7</v>
      </c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</row>
    <row r="86" customHeight="1" spans="1:23">
      <c r="A86" s="7" t="str">
        <f t="array" ref="A86">_xlfn.XLOOKUP(B86,Tabela_ID_2026[INEP],Tabela_ID_2026[REGIONAL],"ne")</f>
        <v>REGIONAL 2</v>
      </c>
      <c r="B86" s="7">
        <v>26110385</v>
      </c>
      <c r="C86" s="7" t="s">
        <v>254</v>
      </c>
      <c r="D86" s="7" t="s">
        <v>539</v>
      </c>
      <c r="E86" s="7" t="s">
        <v>34</v>
      </c>
      <c r="F86" s="7" t="s">
        <v>540</v>
      </c>
      <c r="G86" s="8">
        <v>15</v>
      </c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</row>
    <row r="87" customHeight="1" spans="1:23">
      <c r="A87" s="7" t="str">
        <f t="array" ref="A87">_xlfn.XLOOKUP(B87,Tabela_ID_2026[INEP],Tabela_ID_2026[REGIONAL],"ne")</f>
        <v>REGIONAL 1</v>
      </c>
      <c r="B87" s="7">
        <v>26108550</v>
      </c>
      <c r="C87" s="7" t="s">
        <v>155</v>
      </c>
      <c r="D87" s="7" t="s">
        <v>548</v>
      </c>
      <c r="E87" s="7" t="s">
        <v>549</v>
      </c>
      <c r="F87" s="7" t="s">
        <v>540</v>
      </c>
      <c r="G87" s="8">
        <v>13</v>
      </c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</row>
    <row r="88" customHeight="1" spans="1:23">
      <c r="A88" s="7" t="str">
        <f t="array" ref="A88">_xlfn.XLOOKUP(B88,Tabela_ID_2026[INEP],Tabela_ID_2026[REGIONAL],"ne")</f>
        <v>REGIONAL 1</v>
      </c>
      <c r="B88" s="7">
        <v>26109239</v>
      </c>
      <c r="C88" s="7" t="s">
        <v>158</v>
      </c>
      <c r="D88" s="7" t="s">
        <v>539</v>
      </c>
      <c r="E88" s="7" t="s">
        <v>34</v>
      </c>
      <c r="F88" s="7" t="s">
        <v>540</v>
      </c>
      <c r="G88" s="8">
        <v>15</v>
      </c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</row>
    <row r="89" customHeight="1" spans="1:23">
      <c r="A89" s="7" t="str">
        <f t="array" ref="A89">_xlfn.XLOOKUP(B89,Tabela_ID_2026[INEP],Tabela_ID_2026[REGIONAL],"ne")</f>
        <v>REGIONAL 5</v>
      </c>
      <c r="B89" s="7">
        <v>26147610</v>
      </c>
      <c r="C89" s="7" t="s">
        <v>594</v>
      </c>
      <c r="D89" s="7" t="s">
        <v>570</v>
      </c>
      <c r="E89" s="7" t="s">
        <v>595</v>
      </c>
      <c r="F89" s="7" t="s">
        <v>540</v>
      </c>
      <c r="G89" s="8">
        <v>47</v>
      </c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</row>
    <row r="90" customHeight="1" spans="1:23">
      <c r="A90" s="7" t="str">
        <f t="array" ref="A90">_xlfn.XLOOKUP(B90,Tabela_ID_2026[INEP],Tabela_ID_2026[REGIONAL],"ne")</f>
        <v>REGIONAL 5</v>
      </c>
      <c r="B90" s="7">
        <v>26171457</v>
      </c>
      <c r="C90" s="7" t="s">
        <v>380</v>
      </c>
      <c r="D90" s="7" t="s">
        <v>570</v>
      </c>
      <c r="E90" s="7" t="s">
        <v>576</v>
      </c>
      <c r="F90" s="7" t="s">
        <v>540</v>
      </c>
      <c r="G90" s="8">
        <v>14</v>
      </c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</row>
    <row r="91" customHeight="1" spans="1:23">
      <c r="A91" s="7" t="str">
        <f t="array" ref="A91">_xlfn.XLOOKUP(B91,Tabela_ID_2026[INEP],Tabela_ID_2026[REGIONAL],"ne")</f>
        <v>REGIONAL 7</v>
      </c>
      <c r="B91" s="7">
        <v>26183137</v>
      </c>
      <c r="C91" s="7" t="s">
        <v>596</v>
      </c>
      <c r="D91" s="7" t="s">
        <v>559</v>
      </c>
      <c r="E91" s="7" t="s">
        <v>560</v>
      </c>
      <c r="F91" s="7" t="s">
        <v>561</v>
      </c>
      <c r="G91" s="8">
        <v>11</v>
      </c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</row>
    <row r="92" customHeight="1" spans="1:23">
      <c r="A92" s="7" t="str">
        <f t="array" ref="A92">_xlfn.XLOOKUP(B92,Tabela_ID_2026[INEP],Tabela_ID_2026[REGIONAL],"ne")</f>
        <v>REGIONAL 7</v>
      </c>
      <c r="B92" s="7">
        <v>26188139</v>
      </c>
      <c r="C92" s="7" t="s">
        <v>519</v>
      </c>
      <c r="D92" s="7" t="s">
        <v>548</v>
      </c>
      <c r="E92" s="7" t="s">
        <v>597</v>
      </c>
      <c r="F92" s="7" t="s">
        <v>540</v>
      </c>
      <c r="G92" s="8">
        <v>42</v>
      </c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</row>
    <row r="93" customHeight="1" spans="1:23">
      <c r="A93" s="7" t="str">
        <f t="array" ref="A93">_xlfn.XLOOKUP(B93,Tabela_ID_2026[INEP],Tabela_ID_2026[REGIONAL],"ne")</f>
        <v>REGIONAL 1</v>
      </c>
      <c r="B93" s="7">
        <v>26109280</v>
      </c>
      <c r="C93" s="7" t="s">
        <v>161</v>
      </c>
      <c r="D93" s="7" t="s">
        <v>539</v>
      </c>
      <c r="E93" s="7" t="s">
        <v>34</v>
      </c>
      <c r="F93" s="7" t="s">
        <v>540</v>
      </c>
      <c r="G93" s="8">
        <v>19</v>
      </c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</row>
    <row r="94" customHeight="1" spans="1:23">
      <c r="A94" s="7" t="str">
        <f t="array" ref="A94">_xlfn.XLOOKUP(B94,Tabela_ID_2026[INEP],Tabela_ID_2026[REGIONAL],"ne")</f>
        <v>REGIONAL 6</v>
      </c>
      <c r="B94" s="7">
        <v>26183110</v>
      </c>
      <c r="C94" s="7" t="s">
        <v>598</v>
      </c>
      <c r="D94" s="7" t="s">
        <v>570</v>
      </c>
      <c r="E94" s="7" t="s">
        <v>576</v>
      </c>
      <c r="F94" s="7" t="s">
        <v>540</v>
      </c>
      <c r="G94" s="8">
        <v>22</v>
      </c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</row>
    <row r="95" customHeight="1" spans="1:23">
      <c r="A95" s="7" t="str">
        <f t="array" ref="A95">_xlfn.XLOOKUP(B95,Tabela_ID_2026[INEP],Tabela_ID_2026[REGIONAL],"ne")</f>
        <v>REGIONAL 1</v>
      </c>
      <c r="B95" s="7">
        <v>26109000</v>
      </c>
      <c r="C95" s="7" t="s">
        <v>164</v>
      </c>
      <c r="D95" s="7" t="s">
        <v>539</v>
      </c>
      <c r="E95" s="7" t="s">
        <v>34</v>
      </c>
      <c r="F95" s="7" t="s">
        <v>557</v>
      </c>
      <c r="G95" s="8">
        <v>14</v>
      </c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</row>
    <row r="96" customHeight="1" spans="1:23">
      <c r="A96" s="7" t="str">
        <f t="array" ref="A96">_xlfn.XLOOKUP(B96,Tabela_ID_2026[INEP],Tabela_ID_2026[REGIONAL],"ne")</f>
        <v>REGIONAL 3</v>
      </c>
      <c r="B96" s="7">
        <v>26155028</v>
      </c>
      <c r="C96" s="7" t="s">
        <v>599</v>
      </c>
      <c r="D96" s="7" t="s">
        <v>539</v>
      </c>
      <c r="E96" s="7" t="s">
        <v>34</v>
      </c>
      <c r="F96" s="7" t="s">
        <v>540</v>
      </c>
      <c r="G96" s="8">
        <v>19</v>
      </c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</row>
    <row r="97" customHeight="1" spans="1:23">
      <c r="A97" s="7" t="str">
        <f t="array" ref="A97">_xlfn.XLOOKUP(B97,Tabela_ID_2026[INEP],Tabela_ID_2026[REGIONAL],"ne")</f>
        <v>REGIONAL 1</v>
      </c>
      <c r="B97" s="7">
        <v>26109140</v>
      </c>
      <c r="C97" s="7" t="s">
        <v>600</v>
      </c>
      <c r="D97" s="7" t="s">
        <v>548</v>
      </c>
      <c r="E97" s="7" t="s">
        <v>597</v>
      </c>
      <c r="F97" s="7" t="s">
        <v>540</v>
      </c>
      <c r="G97" s="8">
        <v>94</v>
      </c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</row>
    <row r="98" customHeight="1" spans="1:23">
      <c r="A98" s="7" t="str">
        <f t="array" ref="A98">_xlfn.XLOOKUP(B98,Tabela_ID_2026[INEP],Tabela_ID_2026[REGIONAL],"ne")</f>
        <v>REGIONAL 6</v>
      </c>
      <c r="B98" s="7">
        <v>26188155</v>
      </c>
      <c r="C98" s="7" t="s">
        <v>446</v>
      </c>
      <c r="D98" s="7" t="s">
        <v>539</v>
      </c>
      <c r="E98" s="7" t="s">
        <v>34</v>
      </c>
      <c r="F98" s="7" t="s">
        <v>540</v>
      </c>
      <c r="G98" s="8">
        <v>13</v>
      </c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</row>
    <row r="99" customHeight="1" spans="1:23">
      <c r="A99" s="7" t="str">
        <f t="array" ref="A99">_xlfn.XLOOKUP(B99,Tabela_ID_2026[INEP],Tabela_ID_2026[REGIONAL],"ne")</f>
        <v>REGIONAL 5</v>
      </c>
      <c r="B99" s="7">
        <v>26186101</v>
      </c>
      <c r="C99" s="7" t="s">
        <v>601</v>
      </c>
      <c r="D99" s="7" t="s">
        <v>548</v>
      </c>
      <c r="E99" s="7" t="s">
        <v>549</v>
      </c>
      <c r="F99" s="7" t="s">
        <v>540</v>
      </c>
      <c r="G99" s="8">
        <v>20</v>
      </c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</row>
    <row r="100" customHeight="1" spans="1:23">
      <c r="A100" s="7" t="str">
        <f t="array" ref="A100">_xlfn.XLOOKUP(B100,Tabela_ID_2026[INEP],Tabela_ID_2026[REGIONAL],"ne")</f>
        <v>REGIONAL 7</v>
      </c>
      <c r="B100" s="7">
        <v>26183145</v>
      </c>
      <c r="C100" s="7" t="s">
        <v>528</v>
      </c>
      <c r="D100" s="7" t="s">
        <v>539</v>
      </c>
      <c r="E100" s="7" t="s">
        <v>34</v>
      </c>
      <c r="F100" s="7" t="s">
        <v>540</v>
      </c>
      <c r="G100" s="8">
        <v>15</v>
      </c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</row>
    <row r="101" customHeight="1" spans="1:23">
      <c r="A101" s="7" t="str">
        <f t="array" ref="A101">_xlfn.XLOOKUP(B101,Tabela_ID_2026[INEP],Tabela_ID_2026[REGIONAL],"ne")</f>
        <v>REGIONAL 3</v>
      </c>
      <c r="B101" s="7">
        <v>26186071</v>
      </c>
      <c r="C101" s="7" t="s">
        <v>286</v>
      </c>
      <c r="D101" s="7" t="s">
        <v>539</v>
      </c>
      <c r="E101" s="7" t="s">
        <v>34</v>
      </c>
      <c r="F101" s="7" t="s">
        <v>540</v>
      </c>
      <c r="G101" s="8">
        <v>12</v>
      </c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</row>
    <row r="102" customHeight="1" spans="1:23">
      <c r="A102" s="7" t="str">
        <f t="array" ref="A102">_xlfn.XLOOKUP(B102,Tabela_ID_2026[INEP],Tabela_ID_2026[REGIONAL],"ne")</f>
        <v>REGIONAL 3</v>
      </c>
      <c r="B102" s="7">
        <v>26215209</v>
      </c>
      <c r="C102" s="7" t="s">
        <v>602</v>
      </c>
      <c r="D102" s="7" t="s">
        <v>548</v>
      </c>
      <c r="E102" s="7" t="s">
        <v>597</v>
      </c>
      <c r="F102" s="7" t="s">
        <v>540</v>
      </c>
      <c r="G102" s="8">
        <v>55</v>
      </c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</row>
    <row r="103" customHeight="1" spans="1:23">
      <c r="A103" s="7" t="str">
        <f t="array" ref="A103">_xlfn.XLOOKUP(B103,Tabela_ID_2026[INEP],Tabela_ID_2026[REGIONAL],"ne")</f>
        <v>REGIONAL 2</v>
      </c>
      <c r="B103" s="7">
        <v>26186292</v>
      </c>
      <c r="C103" s="7" t="s">
        <v>603</v>
      </c>
      <c r="D103" s="7" t="s">
        <v>539</v>
      </c>
      <c r="E103" s="7" t="s">
        <v>35</v>
      </c>
      <c r="F103" s="7" t="s">
        <v>540</v>
      </c>
      <c r="G103" s="8">
        <v>9</v>
      </c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</row>
    <row r="104" customHeight="1" spans="1:23">
      <c r="A104" s="7" t="str">
        <f t="array" ref="A104">_xlfn.XLOOKUP(B104,Tabela_ID_2026[INEP],Tabela_ID_2026[REGIONAL],"ne")</f>
        <v>REGIONAL 4</v>
      </c>
      <c r="B104" s="7">
        <v>26179563</v>
      </c>
      <c r="C104" s="7" t="s">
        <v>313</v>
      </c>
      <c r="D104" s="7" t="s">
        <v>570</v>
      </c>
      <c r="E104" s="7" t="s">
        <v>576</v>
      </c>
      <c r="F104" s="7" t="s">
        <v>540</v>
      </c>
      <c r="G104" s="8">
        <v>8</v>
      </c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</row>
    <row r="105" customHeight="1" spans="1:23">
      <c r="A105" s="7" t="str">
        <f t="array" ref="A105">_xlfn.XLOOKUP(B105,Tabela_ID_2026[INEP],Tabela_ID_2026[REGIONAL],"ne")</f>
        <v>REGIONAL 5</v>
      </c>
      <c r="B105" s="7">
        <v>26111292</v>
      </c>
      <c r="C105" s="7" t="s">
        <v>604</v>
      </c>
      <c r="D105" s="7" t="s">
        <v>539</v>
      </c>
      <c r="E105" s="7" t="s">
        <v>34</v>
      </c>
      <c r="F105" s="7" t="s">
        <v>36</v>
      </c>
      <c r="G105" s="8">
        <v>16</v>
      </c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</row>
    <row r="106" customHeight="1" spans="1:23">
      <c r="A106" s="7" t="str">
        <f t="array" ref="A106">_xlfn.XLOOKUP(B106,Tabela_ID_2026[INEP],Tabela_ID_2026[REGIONAL],"ne")</f>
        <v>REGIONAL 4</v>
      </c>
      <c r="B106" s="7">
        <v>26174715</v>
      </c>
      <c r="C106" s="7" t="s">
        <v>316</v>
      </c>
      <c r="D106" s="7" t="s">
        <v>539</v>
      </c>
      <c r="E106" s="7" t="s">
        <v>34</v>
      </c>
      <c r="F106" s="7" t="s">
        <v>540</v>
      </c>
      <c r="G106" s="8">
        <v>13</v>
      </c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</row>
    <row r="107" customHeight="1" spans="1:23">
      <c r="A107" s="7" t="str">
        <f t="array" ref="A107">_xlfn.XLOOKUP(B107,Tabela_ID_2026[INEP],Tabela_ID_2026[REGIONAL],"ne")</f>
        <v>REGIONAL 1</v>
      </c>
      <c r="B107" s="7">
        <v>26109069</v>
      </c>
      <c r="C107" s="7" t="s">
        <v>605</v>
      </c>
      <c r="D107" s="7" t="s">
        <v>539</v>
      </c>
      <c r="E107" s="7" t="s">
        <v>34</v>
      </c>
      <c r="F107" s="7" t="s">
        <v>540</v>
      </c>
      <c r="G107" s="8">
        <v>13</v>
      </c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</row>
    <row r="108" customHeight="1" spans="1:23">
      <c r="A108" s="7" t="str">
        <f t="array" ref="A108">_xlfn.XLOOKUP(B108,Tabela_ID_2026[INEP],Tabela_ID_2026[REGIONAL],"ne")</f>
        <v>REGIONAL 4</v>
      </c>
      <c r="B108" s="7">
        <v>26111748</v>
      </c>
      <c r="C108" s="7" t="s">
        <v>606</v>
      </c>
      <c r="D108" s="7" t="s">
        <v>539</v>
      </c>
      <c r="E108" s="7" t="s">
        <v>34</v>
      </c>
      <c r="F108" s="7" t="s">
        <v>540</v>
      </c>
      <c r="G108" s="8">
        <v>8</v>
      </c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</row>
    <row r="109" customHeight="1" spans="1:23">
      <c r="A109" s="7" t="str">
        <f t="array" ref="A109">_xlfn.XLOOKUP(B109,Tabela_ID_2026[INEP],Tabela_ID_2026[REGIONAL],"ne")</f>
        <v>REGIONAL 1</v>
      </c>
      <c r="B109" s="7">
        <v>26178052</v>
      </c>
      <c r="C109" s="7" t="s">
        <v>173</v>
      </c>
      <c r="D109" s="7" t="s">
        <v>539</v>
      </c>
      <c r="E109" s="7" t="s">
        <v>35</v>
      </c>
      <c r="F109" s="7" t="s">
        <v>557</v>
      </c>
      <c r="G109" s="8">
        <v>13</v>
      </c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</row>
    <row r="110" customHeight="1" spans="1:23">
      <c r="A110" s="7" t="str">
        <f t="array" ref="A110">_xlfn.XLOOKUP(B110,Tabela_ID_2026[INEP],Tabela_ID_2026[REGIONAL],"ne")</f>
        <v>REGIONAL 5</v>
      </c>
      <c r="B110" s="7">
        <v>26109794</v>
      </c>
      <c r="C110" s="7" t="s">
        <v>386</v>
      </c>
      <c r="D110" s="7" t="s">
        <v>559</v>
      </c>
      <c r="E110" s="7" t="s">
        <v>607</v>
      </c>
      <c r="F110" s="7" t="s">
        <v>561</v>
      </c>
      <c r="G110" s="8">
        <v>5</v>
      </c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</row>
    <row r="111" customHeight="1" spans="1:23">
      <c r="A111" s="7" t="str">
        <f t="array" ref="A111">_xlfn.XLOOKUP(B111,Tabela_ID_2026[INEP],Tabela_ID_2026[REGIONAL],"ne")</f>
        <v>REGIONAL 1</v>
      </c>
      <c r="B111" s="7">
        <v>26109875</v>
      </c>
      <c r="C111" s="7" t="s">
        <v>176</v>
      </c>
      <c r="D111" s="7" t="s">
        <v>539</v>
      </c>
      <c r="E111" s="7" t="s">
        <v>35</v>
      </c>
      <c r="F111" s="7" t="s">
        <v>540</v>
      </c>
      <c r="G111" s="8">
        <v>10</v>
      </c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</row>
    <row r="112" customHeight="1" spans="1:23">
      <c r="A112" s="7" t="str">
        <f t="array" ref="A112">_xlfn.XLOOKUP(B112,Tabela_ID_2026[INEP],Tabela_ID_2026[REGIONAL],"ne")</f>
        <v>REGIONAL 1</v>
      </c>
      <c r="B112" s="7">
        <v>26174723</v>
      </c>
      <c r="C112" s="7" t="s">
        <v>608</v>
      </c>
      <c r="D112" s="7" t="s">
        <v>539</v>
      </c>
      <c r="E112" s="7" t="s">
        <v>34</v>
      </c>
      <c r="F112" s="7" t="s">
        <v>540</v>
      </c>
      <c r="G112" s="8">
        <v>14</v>
      </c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</row>
    <row r="113" customHeight="1" spans="1:23">
      <c r="A113" s="7" t="str">
        <f t="array" ref="A113">_xlfn.XLOOKUP(B113,Tabela_ID_2026[INEP],Tabela_ID_2026[REGIONAL],"ne")</f>
        <v>REGIONAL 6</v>
      </c>
      <c r="B113" s="7">
        <v>26178036</v>
      </c>
      <c r="C113" s="7" t="s">
        <v>458</v>
      </c>
      <c r="D113" s="7" t="s">
        <v>548</v>
      </c>
      <c r="E113" s="7" t="s">
        <v>549</v>
      </c>
      <c r="F113" s="7" t="s">
        <v>540</v>
      </c>
      <c r="G113" s="8">
        <v>47</v>
      </c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</row>
    <row r="114" customHeight="1" spans="1:23">
      <c r="A114" s="7" t="str">
        <f t="array" ref="A114">_xlfn.XLOOKUP(B114,Tabela_ID_2026[INEP],Tabela_ID_2026[REGIONAL],"ne")</f>
        <v>REGIONAL 6</v>
      </c>
      <c r="B114" s="7">
        <v>26111330</v>
      </c>
      <c r="C114" s="7" t="s">
        <v>461</v>
      </c>
      <c r="D114" s="7" t="s">
        <v>567</v>
      </c>
      <c r="E114" s="7" t="s">
        <v>568</v>
      </c>
      <c r="F114" s="7" t="s">
        <v>561</v>
      </c>
      <c r="G114" s="8">
        <v>5</v>
      </c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</row>
    <row r="115" customHeight="1" spans="1:23">
      <c r="A115" s="7" t="str">
        <f t="array" ref="A115">_xlfn.XLOOKUP(B115,Tabela_ID_2026[INEP],Tabela_ID_2026[REGIONAL],"ne")</f>
        <v>REGIONAL 6</v>
      </c>
      <c r="B115" s="7">
        <v>26174740</v>
      </c>
      <c r="C115" s="7" t="s">
        <v>464</v>
      </c>
      <c r="D115" s="7" t="s">
        <v>539</v>
      </c>
      <c r="E115" s="7" t="s">
        <v>34</v>
      </c>
      <c r="F115" s="7" t="s">
        <v>540</v>
      </c>
      <c r="G115" s="8">
        <v>25</v>
      </c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</row>
    <row r="116" customHeight="1" spans="1:23">
      <c r="A116" s="7" t="str">
        <f t="array" ref="A116">_xlfn.XLOOKUP(B116,Tabela_ID_2026[INEP],Tabela_ID_2026[REGIONAL],"ne")</f>
        <v>REGIONAL 5</v>
      </c>
      <c r="B116" s="7">
        <v>26109891</v>
      </c>
      <c r="C116" s="7" t="s">
        <v>389</v>
      </c>
      <c r="D116" s="7" t="s">
        <v>567</v>
      </c>
      <c r="E116" s="7" t="s">
        <v>592</v>
      </c>
      <c r="F116" s="7" t="s">
        <v>561</v>
      </c>
      <c r="G116" s="8">
        <v>8</v>
      </c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</row>
    <row r="117" customHeight="1" spans="1:23">
      <c r="A117" s="7" t="str">
        <f t="array" ref="A117">_xlfn.XLOOKUP(B117,Tabela_ID_2026[INEP],Tabela_ID_2026[REGIONAL],"ne")</f>
        <v>REGIONAL 2</v>
      </c>
      <c r="B117" s="7">
        <v>26177510</v>
      </c>
      <c r="C117" s="7" t="s">
        <v>257</v>
      </c>
      <c r="D117" s="7" t="s">
        <v>539</v>
      </c>
      <c r="E117" s="7" t="s">
        <v>34</v>
      </c>
      <c r="F117" s="7" t="s">
        <v>557</v>
      </c>
      <c r="G117" s="8">
        <v>11</v>
      </c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</row>
    <row r="118" customHeight="1" spans="1:23">
      <c r="A118" s="7" t="str">
        <f t="array" ref="A118">_xlfn.XLOOKUP(B118,Tabela_ID_2026[INEP],Tabela_ID_2026[REGIONAL],"ne")</f>
        <v>REGIONAL 6</v>
      </c>
      <c r="B118" s="7">
        <v>26109905</v>
      </c>
      <c r="C118" s="7" t="s">
        <v>609</v>
      </c>
      <c r="D118" s="7" t="s">
        <v>574</v>
      </c>
      <c r="E118" s="7" t="s">
        <v>575</v>
      </c>
      <c r="F118" s="7" t="s">
        <v>36</v>
      </c>
      <c r="G118" s="8">
        <v>8</v>
      </c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</row>
    <row r="119" customHeight="1" spans="1:23">
      <c r="A119" s="7" t="str">
        <f t="array" ref="A119">_xlfn.XLOOKUP(B119,Tabela_ID_2026[INEP],Tabela_ID_2026[REGIONAL],"ne")</f>
        <v>REGIONAL 6</v>
      </c>
      <c r="B119" s="7">
        <v>26171546</v>
      </c>
      <c r="C119" s="7" t="s">
        <v>470</v>
      </c>
      <c r="D119" s="7" t="s">
        <v>539</v>
      </c>
      <c r="E119" s="7" t="s">
        <v>35</v>
      </c>
      <c r="F119" s="7" t="s">
        <v>540</v>
      </c>
      <c r="G119" s="8">
        <v>16</v>
      </c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</row>
    <row r="120" customHeight="1" spans="1:23">
      <c r="A120" s="7" t="str">
        <f t="array" ref="A120">_xlfn.XLOOKUP(B120,Tabela_ID_2026[INEP],Tabela_ID_2026[REGIONAL],"ne")</f>
        <v>REGIONAL 3</v>
      </c>
      <c r="B120" s="7">
        <v>26108992</v>
      </c>
      <c r="C120" s="7" t="s">
        <v>610</v>
      </c>
      <c r="D120" s="7" t="s">
        <v>548</v>
      </c>
      <c r="E120" s="7" t="s">
        <v>549</v>
      </c>
      <c r="F120" s="7" t="s">
        <v>540</v>
      </c>
      <c r="G120" s="8">
        <v>4</v>
      </c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</row>
    <row r="121" customHeight="1" spans="1:23">
      <c r="A121" s="7" t="str">
        <f t="array" ref="A121">_xlfn.XLOOKUP(B121,Tabela_ID_2026[INEP],Tabela_ID_2026[REGIONAL],"ne")</f>
        <v>REGIONAL 5</v>
      </c>
      <c r="B121" s="7">
        <v>26111233</v>
      </c>
      <c r="C121" s="7" t="s">
        <v>611</v>
      </c>
      <c r="D121" s="7" t="s">
        <v>548</v>
      </c>
      <c r="E121" s="7" t="s">
        <v>549</v>
      </c>
      <c r="F121" s="7" t="s">
        <v>540</v>
      </c>
      <c r="G121" s="8">
        <v>62</v>
      </c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</row>
    <row r="122" customHeight="1" spans="1:23">
      <c r="A122" s="7" t="str">
        <f t="array" ref="A122">_xlfn.XLOOKUP(B122,Tabela_ID_2026[INEP],Tabela_ID_2026[REGIONAL],"ne")</f>
        <v>REGIONAL 3</v>
      </c>
      <c r="B122" s="7">
        <v>26186306</v>
      </c>
      <c r="C122" s="7" t="s">
        <v>612</v>
      </c>
      <c r="D122" s="7" t="s">
        <v>570</v>
      </c>
      <c r="E122" s="7" t="s">
        <v>576</v>
      </c>
      <c r="F122" s="7" t="s">
        <v>540</v>
      </c>
      <c r="G122" s="8">
        <v>8</v>
      </c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</row>
    <row r="123" customHeight="1" spans="1:23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</row>
    <row r="124" customHeight="1" spans="1:23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</row>
    <row r="125" customHeight="1" spans="1:23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</row>
    <row r="126" customHeight="1" spans="1:23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</row>
    <row r="127" customHeight="1" spans="1:23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</row>
    <row r="128" customHeight="1" spans="1:23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</row>
    <row r="129" customHeight="1" spans="1:23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</row>
    <row r="130" customHeight="1" spans="1:23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</row>
    <row r="131" customHeight="1" spans="1:23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</row>
    <row r="132" customHeight="1" spans="1:23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</row>
    <row r="133" customHeight="1" spans="1:23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</row>
    <row r="134" customHeight="1" spans="1:23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</row>
    <row r="135" customHeight="1" spans="1:23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</row>
    <row r="136" customHeight="1" spans="1:23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</row>
    <row r="137" customHeight="1" spans="1:23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</row>
    <row r="138" customHeight="1" spans="1:23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</row>
    <row r="139" customHeight="1" spans="1:23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</row>
    <row r="140" customHeight="1" spans="1:23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</row>
    <row r="141" customHeight="1" spans="1:23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</row>
    <row r="142" customHeight="1" spans="1:23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</row>
    <row r="143" customHeight="1" spans="1:23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</row>
    <row r="144" customHeight="1" spans="1:23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</row>
    <row r="145" customHeight="1" spans="1:23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</row>
    <row r="146" customHeight="1" spans="1:23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</row>
    <row r="147" customHeight="1" spans="1:23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</row>
    <row r="148" customHeight="1" spans="1:23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</row>
    <row r="149" customHeight="1" spans="1:23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</row>
    <row r="150" customHeight="1" spans="1:23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</row>
    <row r="151" customHeight="1" spans="1:23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</row>
    <row r="152" customHeight="1" spans="1:23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</row>
    <row r="153" customHeight="1" spans="1:23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</row>
    <row r="154" customHeight="1" spans="1:23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</row>
    <row r="155" customHeight="1" spans="1:23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</row>
    <row r="156" customHeight="1" spans="1:23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</row>
    <row r="157" customHeight="1" spans="1:23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</row>
    <row r="158" customHeight="1" spans="1:23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</row>
    <row r="159" customHeight="1" spans="1:23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</row>
    <row r="160" customHeight="1" spans="1:23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</row>
    <row r="161" customHeight="1" spans="1:23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</row>
    <row r="162" customHeight="1" spans="1:23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</row>
    <row r="163" customHeight="1" spans="1:23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</row>
    <row r="164" customHeight="1" spans="1:23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</row>
    <row r="165" customHeight="1" spans="1:23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</row>
    <row r="166" customHeight="1" spans="1:23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</row>
    <row r="167" customHeight="1" spans="1:23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</row>
    <row r="168" customHeight="1" spans="1:23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</row>
    <row r="169" customHeight="1" spans="1:23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</row>
    <row r="170" customHeight="1" spans="1:23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</row>
    <row r="171" customHeight="1" spans="1:23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</row>
    <row r="172" customHeight="1" spans="1:23">
      <c r="A172" s="7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</row>
    <row r="173" customHeight="1" spans="1:23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</row>
    <row r="174" customHeight="1" spans="1:23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</row>
    <row r="175" customHeight="1" spans="1:23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</row>
    <row r="176" customHeight="1" spans="1:23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</row>
    <row r="177" customHeight="1" spans="1:23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</row>
    <row r="178" customHeight="1" spans="1:23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</row>
    <row r="179" customHeight="1" spans="1:23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</row>
    <row r="180" customHeight="1" spans="1:23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</row>
    <row r="181" customHeight="1" spans="1:23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</row>
    <row r="182" customHeight="1" spans="1:23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</row>
    <row r="183" customHeight="1" spans="1:23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</row>
    <row r="184" customHeight="1" spans="1:23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</row>
    <row r="185" customHeight="1" spans="1:23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</row>
    <row r="186" customHeight="1" spans="1:23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</row>
    <row r="187" customHeight="1" spans="1:23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</row>
    <row r="188" customHeight="1" spans="1:23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</row>
    <row r="189" customHeight="1" spans="1:23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</row>
    <row r="190" customHeight="1" spans="1:23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</row>
    <row r="191" customHeight="1" spans="1:23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</row>
    <row r="192" customHeight="1" spans="1:23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</row>
    <row r="193" customHeight="1" spans="1:23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</row>
    <row r="194" customHeight="1" spans="1:23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</row>
    <row r="195" customHeight="1" spans="1:23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</row>
    <row r="196" customHeight="1" spans="1:23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</row>
    <row r="197" customHeight="1" spans="1:23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</row>
    <row r="198" customHeight="1" spans="1:23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</row>
    <row r="199" customHeight="1" spans="1:23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</row>
    <row r="200" customHeight="1" spans="1:23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</row>
    <row r="201" customHeight="1" spans="1:23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</row>
    <row r="202" customHeight="1" spans="1:23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</row>
    <row r="203" customHeight="1" spans="1:23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</row>
    <row r="204" customHeight="1" spans="1:23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</row>
    <row r="205" customHeight="1" spans="1:23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</row>
    <row r="206" customHeight="1" spans="1:23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</row>
    <row r="207" customHeight="1" spans="1:23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</row>
    <row r="208" customHeight="1" spans="1:23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</row>
    <row r="209" customHeight="1" spans="1:23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</row>
    <row r="210" customHeight="1" spans="1:23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</row>
    <row r="211" customHeight="1" spans="1:23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</row>
    <row r="212" customHeight="1" spans="1:23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</row>
    <row r="213" customHeight="1" spans="1:23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</row>
    <row r="214" customHeight="1" spans="1:23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</row>
    <row r="215" customHeight="1" spans="1:23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</row>
    <row r="216" customHeight="1" spans="1:23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</row>
    <row r="217" customHeight="1" spans="1:23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</row>
    <row r="218" customHeight="1" spans="1:23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</row>
    <row r="219" customHeight="1" spans="1:23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</row>
    <row r="220" customHeight="1" spans="1:23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</row>
    <row r="221" customHeight="1" spans="1:23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</row>
    <row r="222" customHeight="1" spans="1:23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</row>
    <row r="223" customHeight="1" spans="1:23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</row>
    <row r="224" customHeight="1" spans="1:23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</row>
    <row r="225" customHeight="1" spans="1:23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</row>
    <row r="226" customHeight="1" spans="1:23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</row>
    <row r="227" customHeight="1" spans="1:23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</row>
    <row r="228" customHeight="1" spans="1:23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</row>
    <row r="229" customHeight="1" spans="1:23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</row>
    <row r="230" customHeight="1" spans="1:23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</row>
    <row r="231" customHeight="1" spans="1:23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</row>
    <row r="232" customHeight="1" spans="1:23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</row>
    <row r="233" customHeight="1" spans="1:23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</row>
    <row r="234" customHeight="1" spans="1:23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</row>
    <row r="235" customHeight="1" spans="1:23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</row>
    <row r="236" customHeight="1" spans="1:23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</row>
    <row r="237" customHeight="1" spans="1:23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</row>
    <row r="238" customHeight="1" spans="1:23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</row>
    <row r="239" customHeight="1" spans="1:23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</row>
    <row r="240" customHeight="1" spans="1:23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</row>
    <row r="241" customHeight="1" spans="1:23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</row>
    <row r="242" customHeight="1" spans="1:23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</row>
    <row r="243" customHeight="1" spans="1:23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</row>
    <row r="244" customHeight="1" spans="1:23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</row>
    <row r="245" customHeight="1" spans="1:23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</row>
    <row r="246" customHeight="1" spans="1:23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</row>
    <row r="247" customHeight="1" spans="1:23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</row>
    <row r="248" customHeight="1" spans="1:23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</row>
    <row r="249" customHeight="1" spans="1:23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</row>
    <row r="250" customHeight="1" spans="1:23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</row>
    <row r="251" customHeight="1" spans="1:23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</row>
    <row r="252" customHeight="1" spans="1:23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</row>
    <row r="253" customHeight="1" spans="1:23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</row>
    <row r="254" customHeight="1" spans="1:23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</row>
    <row r="255" customHeight="1" spans="1:23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</row>
    <row r="256" customHeight="1" spans="1:23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</row>
    <row r="257" customHeight="1" spans="1:23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</row>
    <row r="258" customHeight="1" spans="1:23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</row>
    <row r="259" customHeight="1" spans="1:23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</row>
    <row r="260" customHeight="1" spans="1:23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</row>
    <row r="261" customHeight="1" spans="1:23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</row>
    <row r="262" customHeight="1" spans="1:23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</row>
    <row r="263" customHeight="1" spans="1:23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</row>
    <row r="264" customHeight="1" spans="1:23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</row>
    <row r="265" customHeight="1" spans="1:23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</row>
    <row r="266" customHeight="1" spans="1:23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</row>
    <row r="267" customHeight="1" spans="1:23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</row>
    <row r="268" customHeight="1" spans="1:23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</row>
    <row r="269" customHeight="1" spans="1:23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</row>
    <row r="270" customHeight="1" spans="1:23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</row>
    <row r="271" customHeight="1" spans="1:23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</row>
    <row r="272" customHeight="1" spans="1:23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</row>
    <row r="273" customHeight="1" spans="1:23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</row>
    <row r="274" customHeight="1" spans="1:23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</row>
    <row r="275" customHeight="1" spans="1:23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</row>
    <row r="276" customHeight="1" spans="1:23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</row>
    <row r="277" customHeight="1" spans="1:23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</row>
    <row r="278" customHeight="1" spans="1:23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</row>
    <row r="279" customHeight="1" spans="1:23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</row>
    <row r="280" customHeight="1" spans="1:23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</row>
    <row r="281" customHeight="1" spans="1:23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</row>
    <row r="282" customHeight="1" spans="1:23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</row>
    <row r="283" customHeight="1" spans="1:23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</row>
    <row r="284" customHeight="1" spans="1:23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</row>
    <row r="285" customHeight="1" spans="1:23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</row>
    <row r="286" customHeight="1" spans="1:23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</row>
    <row r="287" customHeight="1" spans="1:23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</row>
    <row r="288" customHeight="1" spans="1:23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</row>
    <row r="289" customHeight="1" spans="1:23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</row>
    <row r="290" customHeight="1" spans="1:23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</row>
    <row r="291" customHeight="1" spans="1:23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</row>
    <row r="292" customHeight="1" spans="1:23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</row>
    <row r="293" customHeight="1" spans="1:23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</row>
    <row r="294" customHeight="1" spans="1:23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</row>
    <row r="295" customHeight="1" spans="1:23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</row>
    <row r="296" customHeight="1" spans="1:23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</row>
    <row r="297" customHeight="1" spans="1:23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</row>
    <row r="298" customHeight="1" spans="1:23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</row>
    <row r="299" customHeight="1" spans="1:23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</row>
    <row r="300" customHeight="1" spans="1:23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</row>
    <row r="301" customHeight="1" spans="1:23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</row>
    <row r="302" customHeight="1" spans="1:23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</row>
    <row r="303" customHeight="1" spans="1:23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</row>
    <row r="304" customHeight="1" spans="1:23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</row>
    <row r="305" customHeight="1" spans="1:23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</row>
    <row r="306" customHeight="1" spans="1:23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</row>
    <row r="307" customHeight="1" spans="1:23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</row>
    <row r="308" customHeight="1" spans="1:23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</row>
    <row r="309" customHeight="1" spans="1:23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</row>
    <row r="310" customHeight="1" spans="1:23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</row>
    <row r="311" customHeight="1" spans="1:23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</row>
    <row r="312" customHeight="1" spans="1:23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</row>
    <row r="313" customHeight="1" spans="1:23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</row>
    <row r="314" customHeight="1" spans="1:23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</row>
    <row r="315" customHeight="1" spans="1:23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</row>
    <row r="316" customHeight="1" spans="1:23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</row>
    <row r="317" customHeight="1" spans="1:23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</row>
    <row r="318" customHeight="1" spans="1:23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</row>
    <row r="319" customHeight="1" spans="1:23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</row>
    <row r="320" customHeight="1" spans="1:23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</row>
    <row r="321" customHeight="1" spans="1:23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</row>
    <row r="322" customHeight="1" spans="1:23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</row>
    <row r="323" customHeight="1" spans="1:23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</row>
    <row r="324" customHeight="1" spans="1:23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</row>
    <row r="325" customHeight="1" spans="1:23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</row>
    <row r="326" customHeight="1" spans="1:23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</row>
    <row r="327" customHeight="1" spans="1:23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</row>
    <row r="328" customHeight="1" spans="1:23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</row>
    <row r="329" customHeight="1" spans="1:23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</row>
    <row r="330" customHeight="1" spans="1:23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</row>
    <row r="331" customHeight="1" spans="1:23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</row>
    <row r="332" customHeight="1" spans="1:23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</row>
    <row r="333" customHeight="1" spans="1:23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</row>
    <row r="334" customHeight="1" spans="1:23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</row>
    <row r="335" customHeight="1" spans="1:23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</row>
    <row r="336" customHeight="1" spans="1:23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</row>
    <row r="337" customHeight="1" spans="1:23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</row>
    <row r="338" customHeight="1" spans="1:23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</row>
    <row r="339" customHeight="1" spans="1:23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</row>
    <row r="340" customHeight="1" spans="1:23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</row>
    <row r="341" customHeight="1" spans="1:23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</row>
    <row r="342" customHeight="1" spans="1:23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</row>
    <row r="343" customHeight="1" spans="1:23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</row>
    <row r="344" customHeight="1" spans="1:23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</row>
    <row r="345" customHeight="1" spans="1:23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</row>
    <row r="346" customHeight="1" spans="1:23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</row>
    <row r="347" customHeight="1" spans="1:23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</row>
    <row r="348" customHeight="1" spans="1:23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</row>
    <row r="349" customHeight="1" spans="1:23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</row>
    <row r="350" customHeight="1" spans="1:23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</row>
    <row r="351" customHeight="1" spans="1:23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</row>
    <row r="352" customHeight="1" spans="1:23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</row>
    <row r="353" customHeight="1" spans="1:23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</row>
    <row r="354" customHeight="1" spans="1:23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</row>
    <row r="355" customHeight="1" spans="1:23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</row>
    <row r="356" customHeight="1" spans="1:23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</row>
    <row r="357" customHeight="1" spans="1:23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</row>
    <row r="358" customHeight="1" spans="1:23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</row>
    <row r="359" customHeight="1" spans="1:23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</row>
    <row r="360" customHeight="1" spans="1:23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</row>
    <row r="361" customHeight="1" spans="1:23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</row>
    <row r="362" customHeight="1" spans="1:23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</row>
    <row r="363" customHeight="1" spans="1:23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</row>
    <row r="364" customHeight="1" spans="1:23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</row>
    <row r="365" customHeight="1" spans="1:23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</row>
    <row r="366" customHeight="1" spans="1:23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</row>
    <row r="367" customHeight="1" spans="1:23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</row>
    <row r="368" customHeight="1" spans="1:23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</row>
    <row r="369" customHeight="1" spans="1:23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</row>
    <row r="370" customHeight="1" spans="1:23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</row>
    <row r="371" customHeight="1" spans="1:23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</row>
    <row r="372" customHeight="1" spans="1:23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</row>
    <row r="373" customHeight="1" spans="1:23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</row>
    <row r="374" customHeight="1" spans="1:23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</row>
    <row r="375" customHeight="1" spans="1:23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</row>
    <row r="376" customHeight="1" spans="1:23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</row>
    <row r="377" customHeight="1" spans="1:23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</row>
    <row r="378" customHeight="1" spans="1:23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</row>
    <row r="379" customHeight="1" spans="1:23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</row>
    <row r="380" customHeight="1" spans="1:23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</row>
    <row r="381" customHeight="1" spans="1:23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</row>
    <row r="382" customHeight="1" spans="1:23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</row>
    <row r="383" customHeight="1" spans="1:23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</row>
    <row r="384" customHeight="1" spans="1:23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</row>
    <row r="385" customHeight="1" spans="1:23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</row>
    <row r="386" customHeight="1" spans="1:23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</row>
    <row r="387" customHeight="1" spans="1:23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</row>
    <row r="388" customHeight="1" spans="1:23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</row>
    <row r="389" customHeight="1" spans="1:23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</row>
    <row r="390" customHeight="1" spans="1:23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</row>
    <row r="391" customHeight="1" spans="1:23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</row>
    <row r="392" customHeight="1" spans="1:23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</row>
    <row r="393" customHeight="1" spans="1:23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</row>
    <row r="394" customHeight="1" spans="1:23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</row>
    <row r="395" customHeight="1" spans="1:23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</row>
    <row r="396" customHeight="1" spans="1:23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</row>
    <row r="397" customHeight="1" spans="1:23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</row>
    <row r="398" customHeight="1" spans="1:23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</row>
    <row r="399" customHeight="1" spans="1:23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</row>
    <row r="400" customHeight="1" spans="1:23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</row>
    <row r="401" customHeight="1" spans="1:23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</row>
    <row r="402" customHeight="1" spans="1:23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</row>
    <row r="403" customHeight="1" spans="1:23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</row>
    <row r="404" customHeight="1" spans="1:23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</row>
    <row r="405" customHeight="1" spans="1:23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</row>
    <row r="406" customHeight="1" spans="1:23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</row>
    <row r="407" customHeight="1" spans="1:23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</row>
    <row r="408" customHeight="1" spans="1:23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</row>
    <row r="409" customHeight="1" spans="1:23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</row>
    <row r="410" customHeight="1" spans="1:23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</row>
    <row r="411" customHeight="1" spans="1:23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</row>
    <row r="412" customHeight="1" spans="1:23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</row>
    <row r="413" customHeight="1" spans="1:23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</row>
    <row r="414" customHeight="1" spans="1:23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</row>
    <row r="415" customHeight="1" spans="1:23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</row>
    <row r="416" customHeight="1" spans="1:23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</row>
    <row r="417" customHeight="1" spans="1:23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</row>
    <row r="418" customHeight="1" spans="1:23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</row>
    <row r="419" customHeight="1" spans="1:23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</row>
    <row r="420" customHeight="1" spans="1:23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</row>
    <row r="421" customHeight="1" spans="1:23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</row>
    <row r="422" customHeight="1" spans="1:23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</row>
    <row r="423" customHeight="1" spans="1:23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</row>
    <row r="424" customHeight="1" spans="1:23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</row>
    <row r="425" customHeight="1" spans="1:23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</row>
    <row r="426" customHeight="1" spans="1:23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</row>
    <row r="427" customHeight="1" spans="1:23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</row>
    <row r="428" customHeight="1" spans="1:23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</row>
    <row r="429" customHeight="1" spans="1:23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</row>
    <row r="430" customHeight="1" spans="1:23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</row>
    <row r="431" customHeight="1" spans="1:23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</row>
    <row r="432" customHeight="1" spans="1:23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</row>
    <row r="433" customHeight="1" spans="1:23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</row>
    <row r="434" customHeight="1" spans="1:23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</row>
    <row r="435" customHeight="1" spans="1:23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</row>
    <row r="436" customHeight="1" spans="1:23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</row>
    <row r="437" customHeight="1" spans="1:23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</row>
    <row r="438" customHeight="1" spans="1:23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</row>
    <row r="439" customHeight="1" spans="1:23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</row>
    <row r="440" customHeight="1" spans="1:23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</row>
    <row r="441" customHeight="1" spans="1:23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</row>
    <row r="442" customHeight="1" spans="1:23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</row>
    <row r="443" customHeight="1" spans="1:23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</row>
    <row r="444" customHeight="1" spans="1:23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</row>
    <row r="445" customHeight="1" spans="1:23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</row>
    <row r="446" customHeight="1" spans="1:23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</row>
    <row r="447" customHeight="1" spans="1:23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</row>
    <row r="448" customHeight="1" spans="1:23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</row>
    <row r="449" customHeight="1" spans="1:23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</row>
    <row r="450" customHeight="1" spans="1:23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</row>
    <row r="451" customHeight="1" spans="1:23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</row>
    <row r="452" customHeight="1" spans="1:23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</row>
    <row r="453" customHeight="1" spans="1:23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</row>
    <row r="454" customHeight="1" spans="1:23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</row>
    <row r="455" customHeight="1" spans="1:23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</row>
    <row r="456" customHeight="1" spans="1:23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</row>
    <row r="457" customHeight="1" spans="1:23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</row>
    <row r="458" customHeight="1" spans="1:23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</row>
    <row r="459" customHeight="1" spans="1:23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</row>
    <row r="460" customHeight="1" spans="1:23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</row>
    <row r="461" customHeight="1" spans="1:23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</row>
    <row r="462" customHeight="1" spans="1:23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</row>
    <row r="463" customHeight="1" spans="1:23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</row>
    <row r="464" customHeight="1" spans="1:23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</row>
    <row r="465" customHeight="1" spans="1:23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</row>
    <row r="466" customHeight="1" spans="1:23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</row>
    <row r="467" customHeight="1" spans="1:23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</row>
    <row r="468" customHeight="1" spans="1:23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</row>
    <row r="469" customHeight="1" spans="1:23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</row>
    <row r="470" customHeight="1" spans="1:23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</row>
    <row r="471" customHeight="1" spans="1:23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</row>
    <row r="472" customHeight="1" spans="1:23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</row>
    <row r="473" customHeight="1" spans="1:23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</row>
    <row r="474" customHeight="1" spans="1:23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</row>
    <row r="475" customHeight="1" spans="1:23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</row>
    <row r="476" customHeight="1" spans="1:23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</row>
    <row r="477" customHeight="1" spans="1:23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</row>
    <row r="478" customHeight="1" spans="1:23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</row>
    <row r="479" customHeight="1" spans="1:23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</row>
    <row r="480" customHeight="1" spans="1:23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</row>
    <row r="481" customHeight="1" spans="1:23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</row>
    <row r="482" customHeight="1" spans="1:23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</row>
    <row r="483" customHeight="1" spans="1:23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</row>
    <row r="484" customHeight="1" spans="1:23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</row>
    <row r="485" customHeight="1" spans="1:23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</row>
    <row r="486" customHeight="1" spans="1:23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</row>
    <row r="487" customHeight="1" spans="1:23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</row>
    <row r="488" customHeight="1" spans="1:23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</row>
    <row r="489" customHeight="1" spans="1:23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</row>
    <row r="490" customHeight="1" spans="1:23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</row>
    <row r="491" customHeight="1" spans="1:23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</row>
    <row r="492" customHeight="1" spans="1:23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</row>
    <row r="493" customHeight="1" spans="1:23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</row>
    <row r="494" customHeight="1" spans="1:23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</row>
    <row r="495" customHeight="1" spans="1:23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</row>
    <row r="496" customHeight="1" spans="1:23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</row>
    <row r="497" customHeight="1" spans="1:23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</row>
    <row r="498" customHeight="1" spans="1:23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</row>
    <row r="499" customHeight="1" spans="1:23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</row>
    <row r="500" customHeight="1" spans="1:23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</row>
    <row r="501" customHeight="1" spans="1:23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</row>
    <row r="502" customHeight="1" spans="1:23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</row>
    <row r="503" customHeight="1" spans="1:23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</row>
    <row r="504" customHeight="1" spans="1:23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</row>
    <row r="505" customHeight="1" spans="1:23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</row>
    <row r="506" customHeight="1" spans="1:23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</row>
    <row r="507" customHeight="1" spans="1:23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</row>
    <row r="508" customHeight="1" spans="1:23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</row>
    <row r="509" customHeight="1" spans="1:23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</row>
    <row r="510" customHeight="1" spans="1:23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</row>
    <row r="511" customHeight="1" spans="1:23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</row>
    <row r="512" customHeight="1" spans="1:23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</row>
    <row r="513" customHeight="1" spans="1:23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</row>
    <row r="514" customHeight="1" spans="1:23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</row>
    <row r="515" customHeight="1" spans="1:23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</row>
    <row r="516" customHeight="1" spans="1:23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</row>
    <row r="517" customHeight="1" spans="1:23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</row>
    <row r="518" customHeight="1" spans="1:23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</row>
    <row r="519" customHeight="1" spans="1:23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</row>
    <row r="520" customHeight="1" spans="1:23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</row>
    <row r="521" customHeight="1" spans="1:23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</row>
    <row r="522" customHeight="1" spans="1:23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</row>
    <row r="523" customHeight="1" spans="1:23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</row>
    <row r="524" customHeight="1" spans="1:23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</row>
    <row r="525" customHeight="1" spans="1:23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</row>
    <row r="526" customHeight="1" spans="1:23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</row>
    <row r="527" customHeight="1" spans="1:23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</row>
    <row r="528" customHeight="1" spans="1:23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</row>
    <row r="529" customHeight="1" spans="1:23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</row>
    <row r="530" customHeight="1" spans="1:23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</row>
    <row r="531" customHeight="1" spans="1:23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</row>
    <row r="532" customHeight="1" spans="1:23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</row>
    <row r="533" customHeight="1" spans="1:23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</row>
    <row r="534" customHeight="1" spans="1:23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</row>
    <row r="535" customHeight="1" spans="1:23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</row>
    <row r="536" customHeight="1" spans="1:23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</row>
    <row r="537" customHeight="1" spans="1:23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</row>
    <row r="538" customHeight="1" spans="1:23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</row>
    <row r="539" customHeight="1" spans="1:23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</row>
    <row r="540" customHeight="1" spans="1:23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</row>
    <row r="541" customHeight="1" spans="1:23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</row>
    <row r="542" customHeight="1" spans="1:23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</row>
    <row r="543" customHeight="1" spans="1:23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</row>
    <row r="544" customHeight="1" spans="1:23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</row>
    <row r="545" customHeight="1" spans="1:23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</row>
    <row r="546" customHeight="1" spans="1:23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</row>
    <row r="547" customHeight="1" spans="1:23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</row>
    <row r="548" customHeight="1" spans="1:23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</row>
    <row r="549" customHeight="1" spans="1:23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</row>
    <row r="550" customHeight="1" spans="1:23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</row>
    <row r="551" customHeight="1" spans="1:23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</row>
    <row r="552" customHeight="1" spans="1:23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</row>
    <row r="553" customHeight="1" spans="1:23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</row>
    <row r="554" customHeight="1" spans="1:23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</row>
    <row r="555" customHeight="1" spans="1:23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</row>
    <row r="556" customHeight="1" spans="1:23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</row>
    <row r="557" customHeight="1" spans="1:23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</row>
    <row r="558" customHeight="1" spans="1:23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</row>
    <row r="559" customHeight="1" spans="1:23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</row>
    <row r="560" customHeight="1" spans="1:23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</row>
    <row r="561" customHeight="1" spans="1:23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</row>
    <row r="562" customHeight="1" spans="1:23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</row>
    <row r="563" customHeight="1" spans="1:23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</row>
    <row r="564" customHeight="1" spans="1:23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</row>
    <row r="565" customHeight="1" spans="1:23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</row>
    <row r="566" customHeight="1" spans="1:23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</row>
    <row r="567" customHeight="1" spans="1:23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</row>
    <row r="568" customHeight="1" spans="1:23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</row>
    <row r="569" customHeight="1" spans="1:23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</row>
    <row r="570" customHeight="1" spans="1:23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</row>
    <row r="571" customHeight="1" spans="1:23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</row>
    <row r="572" customHeight="1" spans="1:23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</row>
    <row r="573" customHeight="1" spans="1:23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</row>
    <row r="574" customHeight="1" spans="1:23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</row>
    <row r="575" customHeight="1" spans="1:23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</row>
    <row r="576" customHeight="1" spans="1:23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</row>
    <row r="577" customHeight="1" spans="1:23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</row>
    <row r="578" customHeight="1" spans="1:23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</row>
    <row r="579" customHeight="1" spans="1:23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</row>
    <row r="580" customHeight="1" spans="1:23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</row>
    <row r="581" customHeight="1" spans="1:23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</row>
    <row r="582" customHeight="1" spans="1:23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</row>
    <row r="583" customHeight="1" spans="1:23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</row>
    <row r="584" customHeight="1" spans="1:23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</row>
    <row r="585" customHeight="1" spans="1:23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</row>
    <row r="586" customHeight="1" spans="1:23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</row>
    <row r="587" customHeight="1" spans="1:23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</row>
    <row r="588" customHeight="1" spans="1:23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</row>
    <row r="589" customHeight="1" spans="1:23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</row>
    <row r="590" customHeight="1" spans="1:23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</row>
    <row r="591" customHeight="1" spans="1:23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</row>
    <row r="592" customHeight="1" spans="1:23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</row>
    <row r="593" customHeight="1" spans="1:23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</row>
    <row r="594" customHeight="1" spans="1:23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</row>
    <row r="595" customHeight="1" spans="1:23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</row>
    <row r="596" customHeight="1" spans="1:23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</row>
    <row r="597" customHeight="1" spans="1:23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</row>
    <row r="598" customHeight="1" spans="1:23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</row>
    <row r="599" customHeight="1" spans="1:23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</row>
    <row r="600" customHeight="1" spans="1:23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</row>
    <row r="601" customHeight="1" spans="1:23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</row>
    <row r="602" customHeight="1" spans="1:23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</row>
    <row r="603" customHeight="1" spans="1:23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</row>
    <row r="604" customHeight="1" spans="1:23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</row>
    <row r="605" customHeight="1" spans="1:23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</row>
    <row r="606" customHeight="1" spans="1:23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</row>
    <row r="607" customHeight="1" spans="1:23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</row>
    <row r="608" customHeight="1" spans="1:23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</row>
    <row r="609" customHeight="1" spans="1:23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</row>
    <row r="610" customHeight="1" spans="1:23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</row>
    <row r="611" customHeight="1" spans="1:23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</row>
    <row r="612" customHeight="1" spans="1:23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</row>
    <row r="613" customHeight="1" spans="1:23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</row>
    <row r="614" customHeight="1" spans="1:23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</row>
    <row r="615" customHeight="1" spans="1:23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</row>
    <row r="616" customHeight="1" spans="1:23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</row>
    <row r="617" customHeight="1" spans="1:23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</row>
    <row r="618" customHeight="1" spans="1:23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</row>
    <row r="619" customHeight="1" spans="1:23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</row>
    <row r="620" customHeight="1" spans="1:23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</row>
    <row r="621" customHeight="1" spans="1:23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</row>
    <row r="622" customHeight="1" spans="1:23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</row>
    <row r="623" customHeight="1" spans="1:23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</row>
    <row r="624" customHeight="1" spans="1:23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</row>
    <row r="625" customHeight="1" spans="1:23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</row>
    <row r="626" customHeight="1" spans="1:23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</row>
    <row r="627" customHeight="1" spans="1:23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</row>
    <row r="628" customHeight="1" spans="1:23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</row>
    <row r="629" customHeight="1" spans="1:23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</row>
    <row r="630" customHeight="1" spans="1:23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</row>
    <row r="631" customHeight="1" spans="1:23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</row>
    <row r="632" customHeight="1" spans="1:23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</row>
    <row r="633" customHeight="1" spans="1:23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</row>
    <row r="634" customHeight="1" spans="1:23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</row>
    <row r="635" customHeight="1" spans="1:23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</row>
    <row r="636" customHeight="1" spans="1:23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</row>
    <row r="637" customHeight="1" spans="1:23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</row>
    <row r="638" customHeight="1" spans="1:23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</row>
    <row r="639" customHeight="1" spans="1:23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</row>
    <row r="640" customHeight="1" spans="1:23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</row>
    <row r="641" customHeight="1" spans="1:23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</row>
    <row r="642" customHeight="1" spans="1:23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</row>
    <row r="643" customHeight="1" spans="1:23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</row>
    <row r="644" customHeight="1" spans="1:23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</row>
    <row r="645" customHeight="1" spans="1:23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</row>
    <row r="646" customHeight="1" spans="1:23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</row>
    <row r="647" customHeight="1" spans="1:23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</row>
    <row r="648" customHeight="1" spans="1:23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</row>
    <row r="649" customHeight="1" spans="1:23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</row>
    <row r="650" customHeight="1" spans="1:23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</row>
    <row r="651" customHeight="1" spans="1:23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</row>
    <row r="652" customHeight="1" spans="1:23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</row>
    <row r="653" customHeight="1" spans="1:23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</row>
    <row r="654" customHeight="1" spans="1:23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</row>
    <row r="655" customHeight="1" spans="1:23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</row>
    <row r="656" customHeight="1" spans="1:23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</row>
    <row r="657" customHeight="1" spans="1:23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</row>
    <row r="658" customHeight="1" spans="1:23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</row>
    <row r="659" customHeight="1" spans="1:23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</row>
    <row r="660" customHeight="1" spans="1:23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</row>
    <row r="661" customHeight="1" spans="1:23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</row>
    <row r="662" customHeight="1" spans="1:23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</row>
    <row r="663" customHeight="1" spans="1:23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</row>
    <row r="664" customHeight="1" spans="1:23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</row>
    <row r="665" customHeight="1" spans="1:23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</row>
    <row r="666" customHeight="1" spans="1:23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</row>
    <row r="667" customHeight="1" spans="1:23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</row>
    <row r="668" customHeight="1" spans="1:23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</row>
    <row r="669" customHeight="1" spans="1:23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</row>
    <row r="670" customHeight="1" spans="1:23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</row>
    <row r="671" customHeight="1" spans="1:23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</row>
    <row r="672" customHeight="1" spans="1:23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</row>
    <row r="673" customHeight="1" spans="1:23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</row>
    <row r="674" customHeight="1" spans="1:23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</row>
    <row r="675" customHeight="1" spans="1:23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</row>
    <row r="676" customHeight="1" spans="1:23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</row>
    <row r="677" customHeight="1" spans="1:23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</row>
    <row r="678" customHeight="1" spans="1:23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</row>
    <row r="679" customHeight="1" spans="1:23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</row>
    <row r="680" customHeight="1" spans="1:23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</row>
    <row r="681" customHeight="1" spans="1:23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</row>
    <row r="682" customHeight="1" spans="1:23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</row>
    <row r="683" customHeight="1" spans="1:23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</row>
    <row r="684" customHeight="1" spans="1:23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</row>
    <row r="685" customHeight="1" spans="1:23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</row>
    <row r="686" customHeight="1" spans="1:23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</row>
    <row r="687" customHeight="1" spans="1:23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</row>
    <row r="688" customHeight="1" spans="1:23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</row>
    <row r="689" customHeight="1" spans="1:23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</row>
    <row r="690" customHeight="1" spans="1:23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</row>
    <row r="691" customHeight="1" spans="1:23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</row>
    <row r="692" customHeight="1" spans="1:23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</row>
    <row r="693" customHeight="1" spans="1:23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</row>
    <row r="694" customHeight="1" spans="1:23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</row>
    <row r="695" customHeight="1" spans="1:23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</row>
    <row r="696" customHeight="1" spans="1:23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</row>
    <row r="697" customHeight="1" spans="1:23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</row>
    <row r="698" customHeight="1" spans="1:23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</row>
    <row r="699" customHeight="1" spans="1:23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</row>
    <row r="700" customHeight="1" spans="1:23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</row>
    <row r="701" customHeight="1" spans="1:23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</row>
    <row r="702" customHeight="1" spans="1:23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</row>
    <row r="703" customHeight="1" spans="1:23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</row>
    <row r="704" customHeight="1" spans="1:23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</row>
    <row r="705" customHeight="1" spans="1:23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</row>
    <row r="706" customHeight="1" spans="1:23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</row>
    <row r="707" customHeight="1" spans="1:23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</row>
    <row r="708" customHeight="1" spans="1:23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</row>
    <row r="709" customHeight="1" spans="1:23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</row>
    <row r="710" customHeight="1" spans="1:23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</row>
    <row r="711" customHeight="1" spans="1:23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</row>
    <row r="712" customHeight="1" spans="1:23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</row>
    <row r="713" customHeight="1" spans="1:23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</row>
    <row r="714" customHeight="1" spans="1:23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</row>
    <row r="715" customHeight="1" spans="1:23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</row>
    <row r="716" customHeight="1" spans="1:23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</row>
    <row r="717" customHeight="1" spans="1:23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</row>
    <row r="718" customHeight="1" spans="1:23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</row>
    <row r="719" customHeight="1" spans="1:23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</row>
    <row r="720" customHeight="1" spans="1:23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</row>
    <row r="721" customHeight="1" spans="1:23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</row>
    <row r="722" customHeight="1" spans="1:23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</row>
    <row r="723" customHeight="1" spans="1:23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</row>
    <row r="724" customHeight="1" spans="1:23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</row>
    <row r="725" customHeight="1" spans="1:23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</row>
    <row r="726" customHeight="1" spans="1:23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</row>
    <row r="727" customHeight="1" spans="1:23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</row>
    <row r="728" customHeight="1" spans="1:23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</row>
    <row r="729" customHeight="1" spans="1:23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</row>
    <row r="730" customHeight="1" spans="1:23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</row>
    <row r="731" customHeight="1" spans="1:23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</row>
    <row r="732" customHeight="1" spans="1:23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</row>
    <row r="733" customHeight="1" spans="1:23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</row>
    <row r="734" customHeight="1" spans="1:23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</row>
    <row r="735" customHeight="1" spans="1:23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</row>
    <row r="736" customHeight="1" spans="1:23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</row>
    <row r="737" customHeight="1" spans="1:23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</row>
    <row r="738" customHeight="1" spans="1:23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</row>
    <row r="739" customHeight="1" spans="1:23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</row>
    <row r="740" customHeight="1" spans="1:23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</row>
    <row r="741" customHeight="1" spans="1:23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</row>
    <row r="742" customHeight="1" spans="1:23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</row>
    <row r="743" customHeight="1" spans="1:23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</row>
    <row r="744" customHeight="1" spans="1:23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</row>
    <row r="745" customHeight="1" spans="1:23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</row>
    <row r="746" customHeight="1" spans="1:23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</row>
    <row r="747" customHeight="1" spans="1:23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</row>
    <row r="748" customHeight="1" spans="1:23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</row>
    <row r="749" customHeight="1" spans="1:23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</row>
    <row r="750" customHeight="1" spans="1:23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</row>
    <row r="751" customHeight="1" spans="1:23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</row>
    <row r="752" customHeight="1" spans="1:23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</row>
    <row r="753" customHeight="1" spans="1:23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</row>
    <row r="754" customHeight="1" spans="1:23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</row>
    <row r="755" customHeight="1" spans="1:23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</row>
    <row r="756" customHeight="1" spans="1:23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</row>
    <row r="757" customHeight="1" spans="1:23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</row>
    <row r="758" customHeight="1" spans="1:23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</row>
    <row r="759" customHeight="1" spans="1:23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</row>
    <row r="760" customHeight="1" spans="1:23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</row>
    <row r="761" customHeight="1" spans="1:23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</row>
    <row r="762" customHeight="1" spans="1:23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</row>
    <row r="763" customHeight="1" spans="1:23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</row>
    <row r="764" customHeight="1" spans="1:23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</row>
    <row r="765" customHeight="1" spans="1:23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</row>
    <row r="766" customHeight="1" spans="1:23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</row>
    <row r="767" customHeight="1" spans="1:23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</row>
    <row r="768" customHeight="1" spans="1:23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</row>
    <row r="769" customHeight="1" spans="1:23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</row>
    <row r="770" customHeight="1" spans="1:23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</row>
    <row r="771" customHeight="1" spans="1:23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</row>
    <row r="772" customHeight="1" spans="1:23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</row>
    <row r="773" customHeight="1" spans="1:23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</row>
    <row r="774" customHeight="1" spans="1:23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</row>
    <row r="775" customHeight="1" spans="1:23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</row>
    <row r="776" customHeight="1" spans="1:23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</row>
    <row r="777" customHeight="1" spans="1:23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</row>
    <row r="778" customHeight="1" spans="1:23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</row>
    <row r="779" customHeight="1" spans="1:23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</row>
    <row r="780" customHeight="1" spans="1:23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</row>
    <row r="781" customHeight="1" spans="1:23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</row>
    <row r="782" customHeight="1" spans="1:23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</row>
    <row r="783" customHeight="1" spans="1:23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</row>
    <row r="784" customHeight="1" spans="1:23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</row>
    <row r="785" customHeight="1" spans="1:23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</row>
    <row r="786" customHeight="1" spans="1:23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</row>
    <row r="787" customHeight="1" spans="1:23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</row>
    <row r="788" customHeight="1" spans="1:23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</row>
    <row r="789" customHeight="1" spans="1:23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</row>
    <row r="790" customHeight="1" spans="1:23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</row>
    <row r="791" customHeight="1" spans="1:23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</row>
    <row r="792" customHeight="1" spans="1:23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</row>
    <row r="793" customHeight="1" spans="1:23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</row>
    <row r="794" customHeight="1" spans="1:23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</row>
    <row r="795" customHeight="1" spans="1:23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</row>
    <row r="796" customHeight="1" spans="1:23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</row>
    <row r="797" customHeight="1" spans="1:23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</row>
    <row r="798" customHeight="1" spans="1:23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</row>
    <row r="799" customHeight="1" spans="1:23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</row>
    <row r="800" customHeight="1" spans="1:23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</row>
    <row r="801" customHeight="1" spans="1:23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</row>
    <row r="802" customHeight="1" spans="1:23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</row>
    <row r="803" customHeight="1" spans="1:23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</row>
    <row r="804" customHeight="1" spans="1:23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</row>
    <row r="805" customHeight="1" spans="1:23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</row>
    <row r="806" customHeight="1" spans="1:23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</row>
    <row r="807" customHeight="1" spans="1:23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</row>
    <row r="808" customHeight="1" spans="1:23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</row>
    <row r="809" customHeight="1" spans="1:23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</row>
    <row r="810" customHeight="1" spans="1:23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</row>
    <row r="811" customHeight="1" spans="1:23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</row>
    <row r="812" customHeight="1" spans="1:23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</row>
    <row r="813" customHeight="1" spans="1:23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</row>
    <row r="814" customHeight="1" spans="1:23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</row>
    <row r="815" customHeight="1" spans="1:23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</row>
    <row r="816" customHeight="1" spans="1:23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</row>
    <row r="817" customHeight="1" spans="1:23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</row>
    <row r="818" customHeight="1" spans="1:23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</row>
    <row r="819" customHeight="1" spans="1:23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</row>
    <row r="820" customHeight="1" spans="1:23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</row>
    <row r="821" customHeight="1" spans="1:23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</row>
    <row r="822" customHeight="1" spans="1:23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</row>
    <row r="823" customHeight="1" spans="1:23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</row>
    <row r="824" customHeight="1" spans="1:23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</row>
    <row r="825" customHeight="1" spans="1:23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</row>
    <row r="826" customHeight="1" spans="1:23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</row>
    <row r="827" customHeight="1" spans="1:23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</row>
    <row r="828" customHeight="1" spans="1:23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</row>
    <row r="829" customHeight="1" spans="1:23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</row>
    <row r="830" customHeight="1" spans="1:23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</row>
    <row r="831" customHeight="1" spans="1:23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</row>
    <row r="832" customHeight="1" spans="1:23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</row>
    <row r="833" customHeight="1" spans="1:23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</row>
    <row r="834" customHeight="1" spans="1:23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</row>
    <row r="835" customHeight="1" spans="1:23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</row>
    <row r="836" customHeight="1" spans="1:23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</row>
    <row r="837" customHeight="1" spans="1:23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</row>
    <row r="838" customHeight="1" spans="1:23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</row>
    <row r="839" customHeight="1" spans="1:23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</row>
    <row r="840" customHeight="1" spans="1:23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</row>
    <row r="841" customHeight="1" spans="1:23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</row>
    <row r="842" customHeight="1" spans="1:23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</row>
    <row r="843" customHeight="1" spans="1:23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</row>
    <row r="844" customHeight="1" spans="1:23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</row>
    <row r="845" customHeight="1" spans="1:23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</row>
    <row r="846" customHeight="1" spans="1:23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</row>
    <row r="847" customHeight="1" spans="1:23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</row>
    <row r="848" customHeight="1" spans="1:23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</row>
    <row r="849" customHeight="1" spans="1:23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</row>
    <row r="850" customHeight="1" spans="1:23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</row>
    <row r="851" customHeight="1" spans="1:23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</row>
    <row r="852" customHeight="1" spans="1:23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</row>
    <row r="853" customHeight="1" spans="1:23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</row>
    <row r="854" customHeight="1" spans="1:23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</row>
    <row r="855" customHeight="1" spans="1:23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</row>
    <row r="856" customHeight="1" spans="1:23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</row>
    <row r="857" customHeight="1" spans="1:23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</row>
    <row r="858" customHeight="1" spans="1:23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</row>
    <row r="859" customHeight="1" spans="1:23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</row>
    <row r="860" customHeight="1" spans="1:23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</row>
    <row r="861" customHeight="1" spans="1:23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</row>
    <row r="862" customHeight="1" spans="1:23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</row>
    <row r="863" customHeight="1" spans="1:23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</row>
    <row r="864" customHeight="1" spans="1:23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</row>
    <row r="865" customHeight="1" spans="1:23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</row>
    <row r="866" customHeight="1" spans="1:23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</row>
    <row r="867" customHeight="1" spans="1:23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</row>
    <row r="868" customHeight="1" spans="1:23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</row>
    <row r="869" customHeight="1" spans="1:23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</row>
    <row r="870" customHeight="1" spans="1:23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</row>
    <row r="871" customHeight="1" spans="1:23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</row>
    <row r="872" customHeight="1" spans="1:23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</row>
    <row r="873" customHeight="1" spans="1:23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</row>
    <row r="874" customHeight="1" spans="1:23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</row>
    <row r="875" customHeight="1" spans="1:23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</row>
    <row r="876" customHeight="1" spans="1:23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</row>
    <row r="877" customHeight="1" spans="1:23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</row>
    <row r="878" customHeight="1" spans="1:23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</row>
    <row r="879" customHeight="1" spans="1:23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</row>
    <row r="880" customHeight="1" spans="1:23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</row>
    <row r="881" customHeight="1" spans="1:23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</row>
    <row r="882" customHeight="1" spans="1:23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</row>
    <row r="883" customHeight="1" spans="1:23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</row>
    <row r="884" customHeight="1" spans="1:23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</row>
    <row r="885" customHeight="1" spans="1:23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</row>
    <row r="886" customHeight="1" spans="1:23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</row>
    <row r="887" customHeight="1" spans="1:23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</row>
    <row r="888" customHeight="1" spans="1:23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</row>
    <row r="889" customHeight="1" spans="1:23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</row>
    <row r="890" customHeight="1" spans="1:23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</row>
    <row r="891" customHeight="1" spans="1:23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</row>
    <row r="892" customHeight="1" spans="1:23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</row>
    <row r="893" customHeight="1" spans="1:23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</row>
    <row r="894" customHeight="1" spans="1:23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</row>
    <row r="895" customHeight="1" spans="1:23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</row>
    <row r="896" customHeight="1" spans="1:23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</row>
    <row r="897" customHeight="1" spans="1:23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</row>
    <row r="898" customHeight="1" spans="1:23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</row>
    <row r="899" customHeight="1" spans="1:23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</row>
    <row r="900" customHeight="1" spans="1:23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</row>
    <row r="901" customHeight="1" spans="1:23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</row>
    <row r="902" customHeight="1" spans="1:23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</row>
    <row r="903" customHeight="1" spans="1:23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</row>
    <row r="904" customHeight="1" spans="1:23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</row>
    <row r="905" customHeight="1" spans="1:23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</row>
    <row r="906" customHeight="1" spans="1:23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</row>
    <row r="907" customHeight="1" spans="1:23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</row>
    <row r="908" customHeight="1" spans="1:23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</row>
    <row r="909" customHeight="1" spans="1:23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</row>
    <row r="910" customHeight="1" spans="1:23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</row>
    <row r="911" customHeight="1" spans="1:23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</row>
    <row r="912" customHeight="1" spans="1:23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</row>
    <row r="913" customHeight="1" spans="1:23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</row>
    <row r="914" customHeight="1" spans="1:23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</row>
    <row r="915" customHeight="1" spans="1:23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</row>
    <row r="916" customHeight="1" spans="1:23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</row>
    <row r="917" customHeight="1" spans="1:23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</row>
    <row r="918" customHeight="1" spans="1:23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</row>
    <row r="919" customHeight="1" spans="1:23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</row>
    <row r="920" customHeight="1" spans="1:23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</row>
    <row r="921" customHeight="1" spans="1:23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</row>
    <row r="922" customHeight="1" spans="1:23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</row>
    <row r="923" customHeight="1" spans="1:23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</row>
    <row r="924" customHeight="1" spans="1:23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</row>
    <row r="925" customHeight="1" spans="1:23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</row>
    <row r="926" customHeight="1" spans="1:23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</row>
    <row r="927" customHeight="1" spans="1:23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</row>
    <row r="928" customHeight="1" spans="1:23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</row>
    <row r="929" customHeight="1" spans="1:23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</row>
    <row r="930" customHeight="1" spans="1:23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</row>
    <row r="931" customHeight="1" spans="1:23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</row>
    <row r="932" customHeight="1" spans="1:23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</row>
    <row r="933" customHeight="1" spans="1:23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</row>
    <row r="934" customHeight="1" spans="1:23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</row>
    <row r="935" customHeight="1" spans="1:23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</row>
    <row r="936" customHeight="1" spans="1:23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</row>
    <row r="937" customHeight="1" spans="1:23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</row>
    <row r="938" customHeight="1" spans="1:23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</row>
    <row r="939" customHeight="1" spans="1:23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</row>
    <row r="940" customHeight="1" spans="1:23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</row>
    <row r="941" customHeight="1" spans="1:23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</row>
    <row r="942" customHeight="1" spans="1:23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</row>
    <row r="943" customHeight="1" spans="1:23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</row>
    <row r="944" customHeight="1" spans="1:23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</row>
    <row r="945" customHeight="1" spans="1:23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</row>
    <row r="946" customHeight="1" spans="1:23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</row>
    <row r="947" customHeight="1" spans="1:23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</row>
    <row r="948" customHeight="1" spans="1:23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</row>
    <row r="949" customHeight="1" spans="1:23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</row>
    <row r="950" customHeight="1" spans="1:23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</row>
    <row r="951" customHeight="1" spans="1:23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</row>
    <row r="952" customHeight="1" spans="1:23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</row>
    <row r="953" customHeight="1" spans="1:23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</row>
    <row r="954" customHeight="1" spans="1:23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</row>
    <row r="955" customHeight="1" spans="1:23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</row>
    <row r="956" customHeight="1" spans="1:23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</row>
    <row r="957" customHeight="1" spans="1:23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</row>
    <row r="958" customHeight="1" spans="1:23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</row>
    <row r="959" customHeight="1" spans="1:23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</row>
    <row r="960" customHeight="1" spans="1:23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</row>
    <row r="961" customHeight="1" spans="1:23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</row>
    <row r="962" customHeight="1" spans="1:23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</row>
    <row r="963" customHeight="1" spans="1:23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</row>
    <row r="964" customHeight="1" spans="1:23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</row>
    <row r="965" customHeight="1" spans="1:23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</row>
    <row r="966" customHeight="1" spans="1:23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</row>
    <row r="967" customHeight="1" spans="1:23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</row>
    <row r="968" customHeight="1" spans="1:23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</row>
    <row r="969" customHeight="1" spans="1:23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</row>
    <row r="970" customHeight="1" spans="1:23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</row>
    <row r="971" customHeight="1" spans="1:23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</row>
    <row r="972" customHeight="1" spans="1:23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</row>
    <row r="973" customHeight="1" spans="1:23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</row>
    <row r="974" customHeight="1" spans="1:23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</row>
    <row r="975" customHeight="1" spans="1:23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</row>
    <row r="976" customHeight="1" spans="1:23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</row>
    <row r="977" customHeight="1" spans="1:23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</row>
    <row r="978" customHeight="1" spans="1:23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</row>
    <row r="979" customHeight="1" spans="1:23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</row>
    <row r="980" customHeight="1" spans="1:23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</row>
    <row r="981" customHeight="1" spans="1:23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</row>
    <row r="982" customHeight="1" spans="1:23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</row>
    <row r="983" customHeight="1" spans="1:23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</row>
    <row r="984" customHeight="1" spans="1:23">
      <c r="A984" s="7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</row>
    <row r="985" customHeight="1" spans="1:23">
      <c r="A985" s="7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</row>
    <row r="986" customHeight="1" spans="1:23">
      <c r="A986" s="7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</row>
    <row r="987" customHeight="1" spans="1:23">
      <c r="A987" s="7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</row>
    <row r="988" customHeight="1" spans="1:23">
      <c r="A988" s="7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</row>
    <row r="989" customHeight="1" spans="1:23">
      <c r="A989" s="7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</row>
    <row r="990" customHeight="1" spans="1:23">
      <c r="A990" s="7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</row>
    <row r="991" customHeight="1" spans="1:23">
      <c r="A991" s="7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</row>
    <row r="992" customHeight="1" spans="1:23">
      <c r="A992" s="7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</row>
    <row r="993" customHeight="1" spans="1:23">
      <c r="A993" s="7"/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</row>
    <row r="994" customHeight="1" spans="1:23">
      <c r="A994" s="7"/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</row>
    <row r="995" customHeight="1" spans="1:23">
      <c r="A995" s="7"/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</row>
    <row r="996" customHeight="1" spans="1:23">
      <c r="A996" s="7"/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</row>
    <row r="997" customHeight="1" spans="1:23">
      <c r="A997" s="7"/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</row>
    <row r="998" customHeight="1" spans="1:23">
      <c r="A998" s="7"/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</row>
    <row r="999" customHeight="1" spans="1:23">
      <c r="A999" s="7"/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</row>
    <row r="1000" customHeight="1" spans="1:23">
      <c r="A1000" s="7"/>
      <c r="B1000" s="7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</row>
    <row r="1001" customHeight="1" spans="1:23">
      <c r="A1001" s="7"/>
      <c r="B1001" s="7"/>
      <c r="C1001" s="7"/>
      <c r="D1001" s="7"/>
      <c r="E1001" s="7"/>
      <c r="F1001" s="7"/>
      <c r="G1001" s="7"/>
      <c r="H1001" s="7"/>
      <c r="I1001" s="7"/>
      <c r="J1001" s="7"/>
      <c r="K1001" s="7"/>
      <c r="L1001" s="7"/>
      <c r="M1001" s="7"/>
      <c r="N1001" s="7"/>
      <c r="O1001" s="7"/>
      <c r="P1001" s="7"/>
      <c r="Q1001" s="7"/>
      <c r="R1001" s="7"/>
      <c r="S1001" s="7"/>
      <c r="T1001" s="7"/>
      <c r="U1001" s="7"/>
      <c r="V1001" s="7"/>
      <c r="W1001" s="7"/>
    </row>
    <row r="1002" customHeight="1" spans="1:23">
      <c r="A1002" s="7"/>
      <c r="B1002" s="7"/>
      <c r="C1002" s="7"/>
      <c r="D1002" s="7"/>
      <c r="E1002" s="7"/>
      <c r="F1002" s="7"/>
      <c r="G1002" s="7"/>
      <c r="H1002" s="7"/>
      <c r="I1002" s="7"/>
      <c r="J1002" s="7"/>
      <c r="K1002" s="7"/>
      <c r="L1002" s="7"/>
      <c r="M1002" s="7"/>
      <c r="N1002" s="7"/>
      <c r="O1002" s="7"/>
      <c r="P1002" s="7"/>
      <c r="Q1002" s="7"/>
      <c r="R1002" s="7"/>
      <c r="S1002" s="7"/>
      <c r="T1002" s="7"/>
      <c r="U1002" s="7"/>
      <c r="V1002" s="7"/>
      <c r="W1002" s="7"/>
    </row>
    <row r="1003" customHeight="1" spans="1:23">
      <c r="A1003" s="7"/>
      <c r="B1003" s="7"/>
      <c r="C1003" s="7"/>
      <c r="D1003" s="7"/>
      <c r="E1003" s="7"/>
      <c r="F1003" s="7"/>
      <c r="G1003" s="7"/>
      <c r="H1003" s="7"/>
      <c r="I1003" s="7"/>
      <c r="J1003" s="7"/>
      <c r="K1003" s="7"/>
      <c r="L1003" s="7"/>
      <c r="M1003" s="7"/>
      <c r="N1003" s="7"/>
      <c r="O1003" s="7"/>
      <c r="P1003" s="7"/>
      <c r="Q1003" s="7"/>
      <c r="R1003" s="7"/>
      <c r="S1003" s="7"/>
      <c r="T1003" s="7"/>
      <c r="U1003" s="7"/>
      <c r="V1003" s="7"/>
      <c r="W1003" s="7"/>
    </row>
    <row r="1004" customHeight="1" spans="1:23">
      <c r="A1004" s="7"/>
      <c r="B1004" s="7"/>
      <c r="C1004" s="7"/>
      <c r="D1004" s="7"/>
      <c r="E1004" s="7"/>
      <c r="F1004" s="7"/>
      <c r="G1004" s="7"/>
      <c r="H1004" s="7"/>
      <c r="I1004" s="7"/>
      <c r="J1004" s="7"/>
      <c r="K1004" s="7"/>
      <c r="L1004" s="7"/>
      <c r="M1004" s="7"/>
      <c r="N1004" s="7"/>
      <c r="O1004" s="7"/>
      <c r="P1004" s="7"/>
      <c r="Q1004" s="7"/>
      <c r="R1004" s="7"/>
      <c r="S1004" s="7"/>
      <c r="T1004" s="7"/>
      <c r="U1004" s="7"/>
      <c r="V1004" s="7"/>
      <c r="W1004" s="7"/>
    </row>
    <row r="1005" customHeight="1" spans="1:23">
      <c r="A1005" s="7"/>
      <c r="B1005" s="7"/>
      <c r="C1005" s="7"/>
      <c r="D1005" s="7"/>
      <c r="E1005" s="7"/>
      <c r="F1005" s="7"/>
      <c r="G1005" s="7"/>
      <c r="H1005" s="7"/>
      <c r="I1005" s="7"/>
      <c r="J1005" s="7"/>
      <c r="K1005" s="7"/>
      <c r="L1005" s="7"/>
      <c r="M1005" s="7"/>
      <c r="N1005" s="7"/>
      <c r="O1005" s="7"/>
      <c r="P1005" s="7"/>
      <c r="Q1005" s="7"/>
      <c r="R1005" s="7"/>
      <c r="S1005" s="7"/>
      <c r="T1005" s="7"/>
      <c r="U1005" s="7"/>
      <c r="V1005" s="7"/>
      <c r="W1005" s="7"/>
    </row>
    <row r="1006" customHeight="1" spans="1:23">
      <c r="A1006" s="7"/>
      <c r="B1006" s="7"/>
      <c r="C1006" s="7"/>
      <c r="D1006" s="7"/>
      <c r="E1006" s="7"/>
      <c r="F1006" s="7"/>
      <c r="G1006" s="7"/>
      <c r="H1006" s="7"/>
      <c r="I1006" s="7"/>
      <c r="J1006" s="7"/>
      <c r="K1006" s="7"/>
      <c r="L1006" s="7"/>
      <c r="M1006" s="7"/>
      <c r="N1006" s="7"/>
      <c r="O1006" s="7"/>
      <c r="P1006" s="7"/>
      <c r="Q1006" s="7"/>
      <c r="R1006" s="7"/>
      <c r="S1006" s="7"/>
      <c r="T1006" s="7"/>
      <c r="U1006" s="7"/>
      <c r="V1006" s="7"/>
      <c r="W1006" s="7"/>
    </row>
    <row r="1007" customHeight="1" spans="1:23">
      <c r="A1007" s="7"/>
      <c r="B1007" s="7"/>
      <c r="C1007" s="7"/>
      <c r="D1007" s="7"/>
      <c r="E1007" s="7"/>
      <c r="F1007" s="7"/>
      <c r="G1007" s="7"/>
      <c r="H1007" s="7"/>
      <c r="I1007" s="7"/>
      <c r="J1007" s="7"/>
      <c r="K1007" s="7"/>
      <c r="L1007" s="7"/>
      <c r="M1007" s="7"/>
      <c r="N1007" s="7"/>
      <c r="O1007" s="7"/>
      <c r="P1007" s="7"/>
      <c r="Q1007" s="7"/>
      <c r="R1007" s="7"/>
      <c r="S1007" s="7"/>
      <c r="T1007" s="7"/>
      <c r="U1007" s="7"/>
      <c r="V1007" s="7"/>
      <c r="W1007" s="7"/>
    </row>
    <row r="1008" customHeight="1" spans="1:23">
      <c r="A1008" s="7"/>
      <c r="B1008" s="7"/>
      <c r="C1008" s="7"/>
      <c r="D1008" s="7"/>
      <c r="E1008" s="7"/>
      <c r="F1008" s="7"/>
      <c r="G1008" s="7"/>
      <c r="H1008" s="7"/>
      <c r="I1008" s="7"/>
      <c r="J1008" s="7"/>
      <c r="K1008" s="7"/>
      <c r="L1008" s="7"/>
      <c r="M1008" s="7"/>
      <c r="N1008" s="7"/>
      <c r="O1008" s="7"/>
      <c r="P1008" s="7"/>
      <c r="Q1008" s="7"/>
      <c r="R1008" s="7"/>
      <c r="S1008" s="7"/>
      <c r="T1008" s="7"/>
      <c r="U1008" s="7"/>
      <c r="V1008" s="7"/>
      <c r="W1008" s="7"/>
    </row>
    <row r="1009" customHeight="1" spans="1:23">
      <c r="A1009" s="7"/>
      <c r="B1009" s="7"/>
      <c r="C1009" s="7"/>
      <c r="D1009" s="7"/>
      <c r="E1009" s="7"/>
      <c r="F1009" s="7"/>
      <c r="G1009" s="7"/>
      <c r="H1009" s="7"/>
      <c r="I1009" s="7"/>
      <c r="J1009" s="7"/>
      <c r="K1009" s="7"/>
      <c r="L1009" s="7"/>
      <c r="M1009" s="7"/>
      <c r="N1009" s="7"/>
      <c r="O1009" s="7"/>
      <c r="P1009" s="7"/>
      <c r="Q1009" s="7"/>
      <c r="R1009" s="7"/>
      <c r="S1009" s="7"/>
      <c r="T1009" s="7"/>
      <c r="U1009" s="7"/>
      <c r="V1009" s="7"/>
      <c r="W1009" s="7"/>
    </row>
    <row r="1010" customHeight="1" spans="1:23">
      <c r="A1010" s="7"/>
      <c r="B1010" s="7"/>
      <c r="C1010" s="7"/>
      <c r="D1010" s="7"/>
      <c r="E1010" s="7"/>
      <c r="F1010" s="7"/>
      <c r="G1010" s="7"/>
      <c r="H1010" s="7"/>
      <c r="I1010" s="7"/>
      <c r="J1010" s="7"/>
      <c r="K1010" s="7"/>
      <c r="L1010" s="7"/>
      <c r="M1010" s="7"/>
      <c r="N1010" s="7"/>
      <c r="O1010" s="7"/>
      <c r="P1010" s="7"/>
      <c r="Q1010" s="7"/>
      <c r="R1010" s="7"/>
      <c r="S1010" s="7"/>
      <c r="T1010" s="7"/>
      <c r="U1010" s="7"/>
      <c r="V1010" s="7"/>
      <c r="W1010" s="7"/>
    </row>
    <row r="1011" customHeight="1" spans="1:23">
      <c r="A1011" s="7"/>
      <c r="B1011" s="7"/>
      <c r="C1011" s="7"/>
      <c r="D1011" s="7"/>
      <c r="E1011" s="7"/>
      <c r="F1011" s="7"/>
      <c r="G1011" s="7"/>
      <c r="H1011" s="7"/>
      <c r="I1011" s="7"/>
      <c r="J1011" s="7"/>
      <c r="K1011" s="7"/>
      <c r="L1011" s="7"/>
      <c r="M1011" s="7"/>
      <c r="N1011" s="7"/>
      <c r="O1011" s="7"/>
      <c r="P1011" s="7"/>
      <c r="Q1011" s="7"/>
      <c r="R1011" s="7"/>
      <c r="S1011" s="7"/>
      <c r="T1011" s="7"/>
      <c r="U1011" s="7"/>
      <c r="V1011" s="7"/>
      <c r="W1011" s="7"/>
    </row>
    <row r="1012" customHeight="1" spans="1:23">
      <c r="A1012" s="7"/>
      <c r="B1012" s="7"/>
      <c r="C1012" s="7"/>
      <c r="D1012" s="7"/>
      <c r="E1012" s="7"/>
      <c r="F1012" s="7"/>
      <c r="G1012" s="7"/>
      <c r="H1012" s="7"/>
      <c r="I1012" s="7"/>
      <c r="J1012" s="7"/>
      <c r="K1012" s="7"/>
      <c r="L1012" s="7"/>
      <c r="M1012" s="7"/>
      <c r="N1012" s="7"/>
      <c r="O1012" s="7"/>
      <c r="P1012" s="7"/>
      <c r="Q1012" s="7"/>
      <c r="R1012" s="7"/>
      <c r="S1012" s="7"/>
      <c r="T1012" s="7"/>
      <c r="U1012" s="7"/>
      <c r="V1012" s="7"/>
      <c r="W1012" s="7"/>
    </row>
    <row r="1013" customHeight="1" spans="1:23">
      <c r="A1013" s="7"/>
      <c r="B1013" s="7"/>
      <c r="C1013" s="7"/>
      <c r="D1013" s="7"/>
      <c r="E1013" s="7"/>
      <c r="F1013" s="7"/>
      <c r="G1013" s="7"/>
      <c r="H1013" s="7"/>
      <c r="I1013" s="7"/>
      <c r="J1013" s="7"/>
      <c r="K1013" s="7"/>
      <c r="L1013" s="7"/>
      <c r="M1013" s="7"/>
      <c r="N1013" s="7"/>
      <c r="O1013" s="7"/>
      <c r="P1013" s="7"/>
      <c r="Q1013" s="7"/>
      <c r="R1013" s="7"/>
      <c r="S1013" s="7"/>
      <c r="T1013" s="7"/>
      <c r="U1013" s="7"/>
      <c r="V1013" s="7"/>
      <c r="W1013" s="7"/>
    </row>
    <row r="1014" customHeight="1" spans="1:23">
      <c r="A1014" s="7"/>
      <c r="B1014" s="7"/>
      <c r="C1014" s="7"/>
      <c r="D1014" s="7"/>
      <c r="E1014" s="7"/>
      <c r="F1014" s="7"/>
      <c r="G1014" s="7"/>
      <c r="H1014" s="7"/>
      <c r="I1014" s="7"/>
      <c r="J1014" s="7"/>
      <c r="K1014" s="7"/>
      <c r="L1014" s="7"/>
      <c r="M1014" s="7"/>
      <c r="N1014" s="7"/>
      <c r="O1014" s="7"/>
      <c r="P1014" s="7"/>
      <c r="Q1014" s="7"/>
      <c r="R1014" s="7"/>
      <c r="S1014" s="7"/>
      <c r="T1014" s="7"/>
      <c r="U1014" s="7"/>
      <c r="V1014" s="7"/>
      <c r="W1014" s="7"/>
    </row>
    <row r="1015" customHeight="1" spans="1:23">
      <c r="A1015" s="7"/>
      <c r="B1015" s="7"/>
      <c r="C1015" s="7"/>
      <c r="D1015" s="7"/>
      <c r="E1015" s="7"/>
      <c r="F1015" s="7"/>
      <c r="G1015" s="7"/>
      <c r="H1015" s="7"/>
      <c r="I1015" s="7"/>
      <c r="J1015" s="7"/>
      <c r="K1015" s="7"/>
      <c r="L1015" s="7"/>
      <c r="M1015" s="7"/>
      <c r="N1015" s="7"/>
      <c r="O1015" s="7"/>
      <c r="P1015" s="7"/>
      <c r="Q1015" s="7"/>
      <c r="R1015" s="7"/>
      <c r="S1015" s="7"/>
      <c r="T1015" s="7"/>
      <c r="U1015" s="7"/>
      <c r="V1015" s="7"/>
      <c r="W1015" s="7"/>
    </row>
  </sheetData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Z1000"/>
  <sheetViews>
    <sheetView workbookViewId="0">
      <pane ySplit="1" topLeftCell="A2" activePane="bottomLeft" state="frozen"/>
      <selection/>
      <selection pane="bottomLeft" activeCell="B3" sqref="B3"/>
    </sheetView>
  </sheetViews>
  <sheetFormatPr defaultColWidth="14.43" defaultRowHeight="15" customHeight="1"/>
  <cols>
    <col min="1" max="1" width="5.14" customWidth="1"/>
    <col min="2" max="2" width="15.29" customWidth="1"/>
    <col min="3" max="3" width="71.29" customWidth="1"/>
    <col min="4" max="4" width="76" customWidth="1"/>
    <col min="5" max="5" width="53.71" customWidth="1"/>
    <col min="6" max="6" width="15.29" customWidth="1"/>
    <col min="7" max="7" width="43" customWidth="1"/>
    <col min="17" max="26" width="14.86" customWidth="1"/>
  </cols>
  <sheetData>
    <row r="1" ht="22.5" customHeight="1" spans="1:26">
      <c r="A1" s="4" t="s">
        <v>74</v>
      </c>
      <c r="B1" s="5" t="s">
        <v>75</v>
      </c>
      <c r="C1" s="5" t="s">
        <v>23</v>
      </c>
      <c r="D1" s="5" t="s">
        <v>613</v>
      </c>
      <c r="E1" s="5" t="s">
        <v>0</v>
      </c>
      <c r="F1" s="5" t="s">
        <v>185</v>
      </c>
      <c r="G1" s="5" t="s">
        <v>614</v>
      </c>
      <c r="H1" s="5" t="s">
        <v>615</v>
      </c>
      <c r="I1" s="5" t="s">
        <v>616</v>
      </c>
      <c r="J1" s="5" t="s">
        <v>617</v>
      </c>
      <c r="K1" s="5" t="s">
        <v>618</v>
      </c>
      <c r="L1" s="5" t="s">
        <v>619</v>
      </c>
      <c r="M1" s="5" t="s">
        <v>620</v>
      </c>
      <c r="N1" s="5" t="s">
        <v>621</v>
      </c>
      <c r="O1" s="5" t="s">
        <v>622</v>
      </c>
      <c r="P1" s="5" t="s">
        <v>623</v>
      </c>
      <c r="Q1" s="5" t="s">
        <v>624</v>
      </c>
      <c r="R1" s="5" t="s">
        <v>625</v>
      </c>
      <c r="S1" s="5" t="s">
        <v>626</v>
      </c>
      <c r="T1" s="5" t="s">
        <v>627</v>
      </c>
      <c r="U1" s="5" t="s">
        <v>628</v>
      </c>
      <c r="V1" s="5" t="s">
        <v>629</v>
      </c>
      <c r="W1" s="5" t="s">
        <v>630</v>
      </c>
      <c r="X1" s="5" t="s">
        <v>631</v>
      </c>
      <c r="Y1" s="5" t="s">
        <v>632</v>
      </c>
      <c r="Z1" s="5" t="s">
        <v>633</v>
      </c>
    </row>
    <row r="2" ht="22.5" customHeight="1" spans="1:26">
      <c r="A2" s="4">
        <v>1</v>
      </c>
      <c r="B2" s="6" t="s">
        <v>80</v>
      </c>
      <c r="C2" s="6" t="s">
        <v>546</v>
      </c>
      <c r="D2" s="6" t="s">
        <v>546</v>
      </c>
      <c r="E2" s="6" t="s">
        <v>634</v>
      </c>
      <c r="F2" s="6" t="s">
        <v>80</v>
      </c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</row>
    <row r="3" ht="22.5" customHeight="1" spans="1:26">
      <c r="A3" s="4">
        <v>2</v>
      </c>
      <c r="B3" s="6" t="s">
        <v>80</v>
      </c>
      <c r="C3" s="6" t="s">
        <v>44</v>
      </c>
      <c r="D3" s="6" t="s">
        <v>44</v>
      </c>
      <c r="E3" s="6" t="s">
        <v>635</v>
      </c>
      <c r="F3" s="6" t="s">
        <v>80</v>
      </c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ht="22.5" customHeight="1" spans="1:26">
      <c r="A4" s="4">
        <v>3</v>
      </c>
      <c r="B4" s="6" t="s">
        <v>80</v>
      </c>
      <c r="C4" s="6" t="s">
        <v>89</v>
      </c>
      <c r="D4" s="6" t="s">
        <v>553</v>
      </c>
      <c r="E4" s="6" t="s">
        <v>636</v>
      </c>
      <c r="F4" s="6" t="s">
        <v>80</v>
      </c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ht="22.5" customHeight="1" spans="1:26">
      <c r="A5" s="4">
        <v>4</v>
      </c>
      <c r="B5" s="6" t="s">
        <v>80</v>
      </c>
      <c r="C5" s="6" t="s">
        <v>45</v>
      </c>
      <c r="D5" s="6" t="s">
        <v>45</v>
      </c>
      <c r="E5" s="6" t="s">
        <v>637</v>
      </c>
      <c r="F5" s="6" t="s">
        <v>80</v>
      </c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ht="22.5" customHeight="1" spans="1:26">
      <c r="A6" s="4">
        <v>5</v>
      </c>
      <c r="B6" s="6" t="s">
        <v>80</v>
      </c>
      <c r="C6" s="6" t="s">
        <v>638</v>
      </c>
      <c r="D6" s="6" t="s">
        <v>94</v>
      </c>
      <c r="E6" s="6" t="s">
        <v>639</v>
      </c>
      <c r="F6" s="6" t="s">
        <v>80</v>
      </c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</row>
    <row r="7" ht="22.5" customHeight="1" spans="1:26">
      <c r="A7" s="4">
        <v>6</v>
      </c>
      <c r="B7" s="6" t="s">
        <v>80</v>
      </c>
      <c r="C7" s="6" t="s">
        <v>640</v>
      </c>
      <c r="D7" s="6" t="s">
        <v>563</v>
      </c>
      <c r="E7" s="6" t="s">
        <v>641</v>
      </c>
      <c r="F7" s="6" t="s">
        <v>80</v>
      </c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ht="22.5" customHeight="1" spans="1:26">
      <c r="A8" s="4">
        <v>7</v>
      </c>
      <c r="B8" s="6" t="s">
        <v>80</v>
      </c>
      <c r="C8" s="6" t="s">
        <v>577</v>
      </c>
      <c r="D8" s="6" t="s">
        <v>577</v>
      </c>
      <c r="E8" s="6" t="s">
        <v>642</v>
      </c>
      <c r="F8" s="6" t="s">
        <v>80</v>
      </c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ht="22.5" customHeight="1" spans="1:26">
      <c r="A9" s="4">
        <v>8</v>
      </c>
      <c r="B9" s="6" t="s">
        <v>80</v>
      </c>
      <c r="C9" s="6" t="s">
        <v>103</v>
      </c>
      <c r="D9" s="6" t="s">
        <v>103</v>
      </c>
      <c r="E9" s="6" t="s">
        <v>643</v>
      </c>
      <c r="F9" s="6" t="s">
        <v>80</v>
      </c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ht="22.5" customHeight="1" spans="1:26">
      <c r="A10" s="4">
        <v>9</v>
      </c>
      <c r="B10" s="6" t="s">
        <v>80</v>
      </c>
      <c r="C10" s="6" t="s">
        <v>107</v>
      </c>
      <c r="D10" s="6" t="s">
        <v>107</v>
      </c>
      <c r="E10" s="6" t="s">
        <v>644</v>
      </c>
      <c r="F10" s="6" t="s">
        <v>80</v>
      </c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ht="22.5" customHeight="1" spans="1:26">
      <c r="A11" s="4">
        <v>10</v>
      </c>
      <c r="B11" s="6" t="s">
        <v>80</v>
      </c>
      <c r="C11" s="6" t="s">
        <v>110</v>
      </c>
      <c r="D11" s="6" t="s">
        <v>110</v>
      </c>
      <c r="E11" s="6" t="s">
        <v>645</v>
      </c>
      <c r="F11" s="6" t="s">
        <v>80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ht="22.5" customHeight="1" spans="1:26">
      <c r="A12" s="4">
        <v>11</v>
      </c>
      <c r="B12" s="6" t="s">
        <v>80</v>
      </c>
      <c r="C12" s="6" t="s">
        <v>646</v>
      </c>
      <c r="D12" s="6" t="s">
        <v>113</v>
      </c>
      <c r="E12" s="6" t="s">
        <v>647</v>
      </c>
      <c r="F12" s="6" t="s">
        <v>80</v>
      </c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ht="22.5" customHeight="1" spans="1:26">
      <c r="A13" s="4">
        <v>12</v>
      </c>
      <c r="B13" s="6" t="s">
        <v>80</v>
      </c>
      <c r="C13" s="6" t="s">
        <v>116</v>
      </c>
      <c r="D13" s="6" t="s">
        <v>116</v>
      </c>
      <c r="E13" s="6" t="s">
        <v>648</v>
      </c>
      <c r="F13" s="6" t="s">
        <v>80</v>
      </c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ht="22.5" customHeight="1" spans="1:26">
      <c r="A14" s="4">
        <v>13</v>
      </c>
      <c r="B14" s="6" t="s">
        <v>80</v>
      </c>
      <c r="C14" s="6" t="s">
        <v>119</v>
      </c>
      <c r="D14" s="6" t="s">
        <v>581</v>
      </c>
      <c r="E14" s="6" t="s">
        <v>649</v>
      </c>
      <c r="F14" s="6" t="s">
        <v>80</v>
      </c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ht="22.5" customHeight="1" spans="1:26">
      <c r="A15" s="4">
        <v>14</v>
      </c>
      <c r="B15" s="6" t="s">
        <v>80</v>
      </c>
      <c r="C15" s="6" t="s">
        <v>122</v>
      </c>
      <c r="D15" s="6" t="s">
        <v>586</v>
      </c>
      <c r="E15" s="6" t="s">
        <v>650</v>
      </c>
      <c r="F15" s="6" t="s">
        <v>80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ht="22.5" customHeight="1" spans="1:26">
      <c r="A16" s="4">
        <v>15</v>
      </c>
      <c r="B16" s="6" t="s">
        <v>80</v>
      </c>
      <c r="C16" s="6" t="s">
        <v>125</v>
      </c>
      <c r="D16" s="6" t="s">
        <v>125</v>
      </c>
      <c r="E16" s="6" t="s">
        <v>651</v>
      </c>
      <c r="F16" s="6" t="s">
        <v>80</v>
      </c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ht="22.5" customHeight="1" spans="1:26">
      <c r="A17" s="4">
        <v>16</v>
      </c>
      <c r="B17" s="6" t="s">
        <v>80</v>
      </c>
      <c r="C17" s="6" t="s">
        <v>128</v>
      </c>
      <c r="D17" s="6" t="s">
        <v>128</v>
      </c>
      <c r="E17" s="6" t="s">
        <v>652</v>
      </c>
      <c r="F17" s="6" t="s">
        <v>80</v>
      </c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ht="22.5" customHeight="1" spans="1:26">
      <c r="A18" s="4">
        <v>17</v>
      </c>
      <c r="B18" s="6" t="s">
        <v>80</v>
      </c>
      <c r="C18" s="6" t="s">
        <v>131</v>
      </c>
      <c r="D18" s="6" t="s">
        <v>131</v>
      </c>
      <c r="E18" s="6" t="s">
        <v>653</v>
      </c>
      <c r="F18" s="6" t="s">
        <v>80</v>
      </c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ht="22.5" customHeight="1" spans="1:26">
      <c r="A19" s="4">
        <v>18</v>
      </c>
      <c r="B19" s="6" t="s">
        <v>80</v>
      </c>
      <c r="C19" s="6" t="s">
        <v>134</v>
      </c>
      <c r="D19" s="6" t="s">
        <v>134</v>
      </c>
      <c r="E19" s="6" t="s">
        <v>654</v>
      </c>
      <c r="F19" s="6" t="s">
        <v>80</v>
      </c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ht="22.5" customHeight="1" spans="1:26">
      <c r="A20" s="4">
        <v>19</v>
      </c>
      <c r="B20" s="6" t="s">
        <v>80</v>
      </c>
      <c r="C20" s="6" t="s">
        <v>137</v>
      </c>
      <c r="D20" s="6" t="s">
        <v>137</v>
      </c>
      <c r="E20" s="6" t="s">
        <v>655</v>
      </c>
      <c r="F20" s="6" t="s">
        <v>80</v>
      </c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ht="22.5" customHeight="1" spans="1:26">
      <c r="A21" s="4">
        <v>20</v>
      </c>
      <c r="B21" s="6" t="s">
        <v>80</v>
      </c>
      <c r="C21" s="6" t="s">
        <v>140</v>
      </c>
      <c r="D21" s="6" t="s">
        <v>140</v>
      </c>
      <c r="E21" s="6" t="s">
        <v>656</v>
      </c>
      <c r="F21" s="6" t="s">
        <v>80</v>
      </c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ht="22.5" customHeight="1" spans="1:26">
      <c r="A22" s="4">
        <v>21</v>
      </c>
      <c r="B22" s="6" t="s">
        <v>80</v>
      </c>
      <c r="C22" s="6" t="s">
        <v>143</v>
      </c>
      <c r="D22" s="6" t="s">
        <v>143</v>
      </c>
      <c r="E22" s="6" t="s">
        <v>657</v>
      </c>
      <c r="F22" s="6" t="s">
        <v>80</v>
      </c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ht="22.5" customHeight="1" spans="1:26">
      <c r="A23" s="4">
        <v>22</v>
      </c>
      <c r="B23" s="6" t="s">
        <v>80</v>
      </c>
      <c r="C23" s="6" t="s">
        <v>146</v>
      </c>
      <c r="D23" s="6" t="s">
        <v>146</v>
      </c>
      <c r="E23" s="6" t="s">
        <v>658</v>
      </c>
      <c r="F23" s="6" t="s">
        <v>80</v>
      </c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ht="22.5" customHeight="1" spans="1:26">
      <c r="A24" s="4">
        <v>23</v>
      </c>
      <c r="B24" s="6" t="s">
        <v>80</v>
      </c>
      <c r="C24" s="6" t="s">
        <v>149</v>
      </c>
      <c r="D24" s="6" t="s">
        <v>149</v>
      </c>
      <c r="E24" s="6" t="s">
        <v>659</v>
      </c>
      <c r="F24" s="6" t="s">
        <v>80</v>
      </c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ht="22.5" customHeight="1" spans="1:26">
      <c r="A25" s="4">
        <v>24</v>
      </c>
      <c r="B25" s="6" t="s">
        <v>80</v>
      </c>
      <c r="C25" s="6" t="s">
        <v>152</v>
      </c>
      <c r="D25" s="6" t="s">
        <v>593</v>
      </c>
      <c r="E25" s="6" t="s">
        <v>660</v>
      </c>
      <c r="F25" s="6" t="s">
        <v>80</v>
      </c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ht="22.5" customHeight="1" spans="1:26">
      <c r="A26" s="4">
        <v>25</v>
      </c>
      <c r="B26" s="6" t="s">
        <v>80</v>
      </c>
      <c r="C26" s="6" t="s">
        <v>155</v>
      </c>
      <c r="D26" s="6" t="s">
        <v>155</v>
      </c>
      <c r="E26" s="6" t="s">
        <v>661</v>
      </c>
      <c r="F26" s="6" t="s">
        <v>80</v>
      </c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ht="22.5" customHeight="1" spans="1:26">
      <c r="A27" s="4">
        <v>26</v>
      </c>
      <c r="B27" s="6" t="s">
        <v>80</v>
      </c>
      <c r="C27" s="6" t="s">
        <v>158</v>
      </c>
      <c r="D27" s="6" t="s">
        <v>158</v>
      </c>
      <c r="E27" s="6" t="s">
        <v>662</v>
      </c>
      <c r="F27" s="6" t="s">
        <v>80</v>
      </c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ht="22.5" customHeight="1" spans="1:26">
      <c r="A28" s="4">
        <v>27</v>
      </c>
      <c r="B28" s="6" t="s">
        <v>80</v>
      </c>
      <c r="C28" s="6" t="s">
        <v>663</v>
      </c>
      <c r="D28" s="6" t="s">
        <v>161</v>
      </c>
      <c r="E28" s="6" t="s">
        <v>664</v>
      </c>
      <c r="F28" s="6" t="s">
        <v>80</v>
      </c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ht="22.5" customHeight="1" spans="1:26">
      <c r="A29" s="4">
        <v>28</v>
      </c>
      <c r="B29" s="6" t="s">
        <v>80</v>
      </c>
      <c r="C29" s="6" t="s">
        <v>665</v>
      </c>
      <c r="D29" s="6" t="s">
        <v>164</v>
      </c>
      <c r="E29" s="6" t="s">
        <v>666</v>
      </c>
      <c r="F29" s="6" t="s">
        <v>80</v>
      </c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ht="22.5" customHeight="1" spans="1:26">
      <c r="A30" s="4">
        <v>29</v>
      </c>
      <c r="B30" s="6" t="s">
        <v>80</v>
      </c>
      <c r="C30" s="6" t="s">
        <v>667</v>
      </c>
      <c r="D30" s="6" t="s">
        <v>600</v>
      </c>
      <c r="E30" s="6" t="s">
        <v>668</v>
      </c>
      <c r="F30" s="6" t="s">
        <v>80</v>
      </c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ht="22.5" customHeight="1" spans="1:26">
      <c r="A31" s="4">
        <v>30</v>
      </c>
      <c r="B31" s="6" t="s">
        <v>80</v>
      </c>
      <c r="C31" s="6" t="s">
        <v>170</v>
      </c>
      <c r="D31" s="6" t="s">
        <v>605</v>
      </c>
      <c r="E31" s="6" t="s">
        <v>669</v>
      </c>
      <c r="F31" s="6" t="s">
        <v>80</v>
      </c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ht="22.5" customHeight="1" spans="1:26">
      <c r="A32" s="4">
        <v>31</v>
      </c>
      <c r="B32" s="6" t="s">
        <v>80</v>
      </c>
      <c r="C32" s="6" t="s">
        <v>173</v>
      </c>
      <c r="D32" s="6" t="s">
        <v>173</v>
      </c>
      <c r="E32" s="6" t="s">
        <v>670</v>
      </c>
      <c r="F32" s="6" t="s">
        <v>80</v>
      </c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ht="22.5" customHeight="1" spans="1:26">
      <c r="A33" s="4">
        <v>32</v>
      </c>
      <c r="B33" s="6" t="s">
        <v>80</v>
      </c>
      <c r="C33" s="6" t="s">
        <v>176</v>
      </c>
      <c r="D33" s="6" t="s">
        <v>176</v>
      </c>
      <c r="E33" s="6" t="s">
        <v>671</v>
      </c>
      <c r="F33" s="6" t="s">
        <v>80</v>
      </c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ht="22.5" customHeight="1" spans="1:26">
      <c r="A34" s="4">
        <v>33</v>
      </c>
      <c r="B34" s="6" t="s">
        <v>80</v>
      </c>
      <c r="C34" s="6" t="s">
        <v>179</v>
      </c>
      <c r="D34" s="6" t="s">
        <v>608</v>
      </c>
      <c r="E34" s="6" t="s">
        <v>672</v>
      </c>
      <c r="F34" s="6" t="s">
        <v>80</v>
      </c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ht="22.5" customHeight="1" spans="1:26">
      <c r="A35" s="4">
        <v>34</v>
      </c>
      <c r="B35" s="6" t="s">
        <v>80</v>
      </c>
      <c r="C35" s="6" t="s">
        <v>182</v>
      </c>
      <c r="D35" s="6" t="s">
        <v>673</v>
      </c>
      <c r="E35" s="6" t="s">
        <v>674</v>
      </c>
      <c r="F35" s="6" t="s">
        <v>80</v>
      </c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ht="22.5" customHeight="1" spans="1:26">
      <c r="A36" s="4">
        <v>35</v>
      </c>
      <c r="B36" s="6" t="s">
        <v>185</v>
      </c>
      <c r="C36" s="6" t="s">
        <v>48</v>
      </c>
      <c r="D36" s="6" t="s">
        <v>48</v>
      </c>
      <c r="E36" s="6" t="s">
        <v>675</v>
      </c>
      <c r="F36" s="6" t="s">
        <v>185</v>
      </c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ht="22.5" customHeight="1" spans="1:26">
      <c r="A37" s="4">
        <v>36</v>
      </c>
      <c r="B37" s="6" t="s">
        <v>185</v>
      </c>
      <c r="C37" s="6" t="s">
        <v>188</v>
      </c>
      <c r="D37" s="6" t="s">
        <v>188</v>
      </c>
      <c r="E37" s="6" t="s">
        <v>676</v>
      </c>
      <c r="F37" s="6" t="s">
        <v>185</v>
      </c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ht="22.5" customHeight="1" spans="1:26">
      <c r="A38" s="4">
        <v>37</v>
      </c>
      <c r="B38" s="6" t="s">
        <v>185</v>
      </c>
      <c r="C38" s="6" t="s">
        <v>191</v>
      </c>
      <c r="D38" s="6" t="s">
        <v>191</v>
      </c>
      <c r="E38" s="6" t="s">
        <v>677</v>
      </c>
      <c r="F38" s="6" t="s">
        <v>185</v>
      </c>
      <c r="G38" s="6" t="s">
        <v>678</v>
      </c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ht="22.5" customHeight="1" spans="1:26">
      <c r="A39" s="4">
        <v>38</v>
      </c>
      <c r="B39" s="6" t="s">
        <v>185</v>
      </c>
      <c r="C39" s="6" t="s">
        <v>50</v>
      </c>
      <c r="D39" s="6" t="s">
        <v>50</v>
      </c>
      <c r="E39" s="6" t="s">
        <v>679</v>
      </c>
      <c r="F39" s="6" t="s">
        <v>185</v>
      </c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ht="22.5" customHeight="1" spans="1:26">
      <c r="A40" s="4">
        <v>39</v>
      </c>
      <c r="B40" s="6" t="s">
        <v>185</v>
      </c>
      <c r="C40" s="6" t="s">
        <v>197</v>
      </c>
      <c r="D40" s="6" t="s">
        <v>197</v>
      </c>
      <c r="E40" s="6" t="s">
        <v>680</v>
      </c>
      <c r="F40" s="6" t="s">
        <v>185</v>
      </c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ht="22.5" customHeight="1" spans="1:26">
      <c r="A41" s="4">
        <v>40</v>
      </c>
      <c r="B41" s="6" t="s">
        <v>185</v>
      </c>
      <c r="C41" s="6" t="s">
        <v>200</v>
      </c>
      <c r="D41" s="6" t="s">
        <v>200</v>
      </c>
      <c r="E41" s="6" t="s">
        <v>681</v>
      </c>
      <c r="F41" s="6" t="s">
        <v>185</v>
      </c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ht="22.5" customHeight="1" spans="1:26">
      <c r="A42" s="4">
        <v>41</v>
      </c>
      <c r="B42" s="6" t="s">
        <v>185</v>
      </c>
      <c r="C42" s="6" t="s">
        <v>203</v>
      </c>
      <c r="D42" s="6" t="s">
        <v>573</v>
      </c>
      <c r="E42" s="6" t="s">
        <v>682</v>
      </c>
      <c r="F42" s="6" t="s">
        <v>185</v>
      </c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ht="22.5" customHeight="1" spans="1:26">
      <c r="A43" s="4">
        <v>42</v>
      </c>
      <c r="B43" s="6" t="s">
        <v>185</v>
      </c>
      <c r="C43" s="6" t="s">
        <v>206</v>
      </c>
      <c r="D43" s="6" t="s">
        <v>206</v>
      </c>
      <c r="E43" s="6" t="s">
        <v>683</v>
      </c>
      <c r="F43" s="6" t="s">
        <v>185</v>
      </c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ht="22.5" customHeight="1" spans="1:26">
      <c r="A44" s="4">
        <v>43</v>
      </c>
      <c r="B44" s="6" t="s">
        <v>185</v>
      </c>
      <c r="C44" s="6" t="s">
        <v>209</v>
      </c>
      <c r="D44" s="6" t="s">
        <v>209</v>
      </c>
      <c r="E44" s="6" t="s">
        <v>684</v>
      </c>
      <c r="F44" s="6" t="s">
        <v>185</v>
      </c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ht="22.5" customHeight="1" spans="1:26">
      <c r="A45" s="4">
        <v>44</v>
      </c>
      <c r="B45" s="6" t="s">
        <v>185</v>
      </c>
      <c r="C45" s="6" t="s">
        <v>212</v>
      </c>
      <c r="D45" s="6" t="s">
        <v>212</v>
      </c>
      <c r="E45" s="6" t="s">
        <v>685</v>
      </c>
      <c r="F45" s="6" t="s">
        <v>185</v>
      </c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ht="22.5" customHeight="1" spans="1:26">
      <c r="A46" s="4">
        <v>45</v>
      </c>
      <c r="B46" s="6" t="s">
        <v>185</v>
      </c>
      <c r="C46" s="6" t="s">
        <v>215</v>
      </c>
      <c r="D46" s="6" t="s">
        <v>580</v>
      </c>
      <c r="E46" s="6" t="s">
        <v>686</v>
      </c>
      <c r="F46" s="6" t="s">
        <v>185</v>
      </c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ht="22.5" customHeight="1" spans="1:26">
      <c r="A47" s="4">
        <v>46</v>
      </c>
      <c r="B47" s="6" t="s">
        <v>185</v>
      </c>
      <c r="C47" s="6" t="s">
        <v>218</v>
      </c>
      <c r="D47" s="6" t="s">
        <v>218</v>
      </c>
      <c r="E47" s="6" t="s">
        <v>687</v>
      </c>
      <c r="F47" s="6" t="s">
        <v>185</v>
      </c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ht="22.5" customHeight="1" spans="1:26">
      <c r="A48" s="4">
        <v>47</v>
      </c>
      <c r="B48" s="6" t="s">
        <v>185</v>
      </c>
      <c r="C48" s="6" t="s">
        <v>221</v>
      </c>
      <c r="D48" s="6" t="s">
        <v>221</v>
      </c>
      <c r="E48" s="6" t="s">
        <v>688</v>
      </c>
      <c r="F48" s="6" t="s">
        <v>185</v>
      </c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ht="22.5" customHeight="1" spans="1:26">
      <c r="A49" s="4">
        <v>48</v>
      </c>
      <c r="B49" s="6" t="s">
        <v>185</v>
      </c>
      <c r="C49" s="6" t="s">
        <v>224</v>
      </c>
      <c r="D49" s="6" t="s">
        <v>224</v>
      </c>
      <c r="E49" s="6" t="s">
        <v>689</v>
      </c>
      <c r="F49" s="6" t="s">
        <v>185</v>
      </c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ht="22.5" customHeight="1" spans="1:26">
      <c r="A50" s="4">
        <v>49</v>
      </c>
      <c r="B50" s="6" t="s">
        <v>185</v>
      </c>
      <c r="C50" s="6" t="s">
        <v>583</v>
      </c>
      <c r="D50" s="6" t="s">
        <v>583</v>
      </c>
      <c r="E50" s="6" t="s">
        <v>690</v>
      </c>
      <c r="F50" s="6" t="s">
        <v>185</v>
      </c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ht="22.5" customHeight="1" spans="1:26">
      <c r="A51" s="4">
        <v>50</v>
      </c>
      <c r="B51" s="6" t="s">
        <v>185</v>
      </c>
      <c r="C51" s="6" t="s">
        <v>230</v>
      </c>
      <c r="D51" s="6" t="s">
        <v>691</v>
      </c>
      <c r="E51" s="6" t="s">
        <v>692</v>
      </c>
      <c r="F51" s="6" t="s">
        <v>185</v>
      </c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ht="22.5" customHeight="1" spans="1:26">
      <c r="A52" s="4">
        <v>51</v>
      </c>
      <c r="B52" s="6" t="s">
        <v>185</v>
      </c>
      <c r="C52" s="6" t="s">
        <v>233</v>
      </c>
      <c r="D52" s="6" t="s">
        <v>233</v>
      </c>
      <c r="E52" s="6" t="s">
        <v>693</v>
      </c>
      <c r="F52" s="6" t="s">
        <v>185</v>
      </c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ht="22.5" customHeight="1" spans="1:26">
      <c r="A53" s="4">
        <v>52</v>
      </c>
      <c r="B53" s="6" t="s">
        <v>185</v>
      </c>
      <c r="C53" s="6" t="s">
        <v>236</v>
      </c>
      <c r="D53" s="6" t="s">
        <v>236</v>
      </c>
      <c r="E53" s="6" t="s">
        <v>694</v>
      </c>
      <c r="F53" s="6" t="s">
        <v>185</v>
      </c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ht="22.5" customHeight="1" spans="1:26">
      <c r="A54" s="4">
        <v>53</v>
      </c>
      <c r="B54" s="6" t="s">
        <v>185</v>
      </c>
      <c r="C54" s="6" t="s">
        <v>239</v>
      </c>
      <c r="D54" s="6" t="s">
        <v>582</v>
      </c>
      <c r="E54" s="6" t="s">
        <v>695</v>
      </c>
      <c r="F54" s="6" t="s">
        <v>185</v>
      </c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ht="22.5" customHeight="1" spans="1:26">
      <c r="A55" s="4">
        <v>54</v>
      </c>
      <c r="B55" s="6" t="s">
        <v>185</v>
      </c>
      <c r="C55" s="6" t="s">
        <v>242</v>
      </c>
      <c r="D55" s="6" t="s">
        <v>242</v>
      </c>
      <c r="E55" s="6" t="s">
        <v>696</v>
      </c>
      <c r="F55" s="6" t="s">
        <v>185</v>
      </c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ht="22.5" customHeight="1" spans="1:26">
      <c r="A56" s="4">
        <v>55</v>
      </c>
      <c r="B56" s="6" t="s">
        <v>185</v>
      </c>
      <c r="C56" s="6" t="s">
        <v>248</v>
      </c>
      <c r="D56" s="6" t="s">
        <v>248</v>
      </c>
      <c r="E56" s="6" t="s">
        <v>697</v>
      </c>
      <c r="F56" s="6" t="s">
        <v>185</v>
      </c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ht="22.5" customHeight="1" spans="1:26">
      <c r="A57" s="4">
        <v>56</v>
      </c>
      <c r="B57" s="6" t="s">
        <v>185</v>
      </c>
      <c r="C57" s="6" t="s">
        <v>251</v>
      </c>
      <c r="D57" s="6" t="s">
        <v>251</v>
      </c>
      <c r="E57" s="6" t="s">
        <v>698</v>
      </c>
      <c r="F57" s="6" t="s">
        <v>185</v>
      </c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ht="22.5" customHeight="1" spans="1:26">
      <c r="A58" s="4">
        <v>57</v>
      </c>
      <c r="B58" s="6" t="s">
        <v>185</v>
      </c>
      <c r="C58" s="6" t="s">
        <v>254</v>
      </c>
      <c r="D58" s="6" t="s">
        <v>254</v>
      </c>
      <c r="E58" s="6" t="s">
        <v>699</v>
      </c>
      <c r="F58" s="6" t="s">
        <v>185</v>
      </c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ht="22.5" customHeight="1" spans="1:26">
      <c r="A59" s="4">
        <v>58</v>
      </c>
      <c r="B59" s="6" t="s">
        <v>185</v>
      </c>
      <c r="C59" s="6" t="s">
        <v>603</v>
      </c>
      <c r="D59" s="6" t="s">
        <v>603</v>
      </c>
      <c r="E59" s="6" t="s">
        <v>700</v>
      </c>
      <c r="F59" s="6" t="s">
        <v>185</v>
      </c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ht="22.5" customHeight="1" spans="1:26">
      <c r="A60" s="4">
        <v>59</v>
      </c>
      <c r="B60" s="6" t="s">
        <v>185</v>
      </c>
      <c r="C60" s="6" t="s">
        <v>257</v>
      </c>
      <c r="D60" s="6" t="s">
        <v>257</v>
      </c>
      <c r="E60" s="6" t="s">
        <v>701</v>
      </c>
      <c r="F60" s="6" t="s">
        <v>185</v>
      </c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ht="22.5" customHeight="1" spans="1:26">
      <c r="A61" s="4">
        <v>60</v>
      </c>
      <c r="B61" s="6" t="s">
        <v>260</v>
      </c>
      <c r="C61" s="6" t="s">
        <v>52</v>
      </c>
      <c r="D61" s="6" t="s">
        <v>52</v>
      </c>
      <c r="E61" s="6" t="s">
        <v>702</v>
      </c>
      <c r="F61" s="6" t="s">
        <v>260</v>
      </c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ht="22.5" customHeight="1" spans="1:26">
      <c r="A62" s="4">
        <v>61</v>
      </c>
      <c r="B62" s="6" t="s">
        <v>260</v>
      </c>
      <c r="C62" s="6" t="s">
        <v>53</v>
      </c>
      <c r="D62" s="6" t="s">
        <v>53</v>
      </c>
      <c r="E62" s="6" t="s">
        <v>703</v>
      </c>
      <c r="F62" s="6" t="s">
        <v>260</v>
      </c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ht="22.5" customHeight="1" spans="1:26">
      <c r="A63" s="4">
        <v>62</v>
      </c>
      <c r="B63" s="6" t="s">
        <v>260</v>
      </c>
      <c r="C63" s="6" t="s">
        <v>265</v>
      </c>
      <c r="D63" s="6" t="s">
        <v>265</v>
      </c>
      <c r="E63" s="6" t="s">
        <v>704</v>
      </c>
      <c r="F63" s="6" t="s">
        <v>260</v>
      </c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ht="22.5" customHeight="1" spans="1:26">
      <c r="A64" s="4">
        <v>63</v>
      </c>
      <c r="B64" s="6" t="s">
        <v>260</v>
      </c>
      <c r="C64" s="6" t="s">
        <v>268</v>
      </c>
      <c r="D64" s="6" t="s">
        <v>268</v>
      </c>
      <c r="E64" s="6" t="s">
        <v>705</v>
      </c>
      <c r="F64" s="6" t="s">
        <v>260</v>
      </c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ht="22.5" customHeight="1" spans="1:26">
      <c r="A65" s="4">
        <v>64</v>
      </c>
      <c r="B65" s="6" t="s">
        <v>260</v>
      </c>
      <c r="C65" s="6" t="s">
        <v>271</v>
      </c>
      <c r="D65" s="6" t="s">
        <v>271</v>
      </c>
      <c r="E65" s="6" t="s">
        <v>706</v>
      </c>
      <c r="F65" s="6" t="s">
        <v>260</v>
      </c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ht="22.5" customHeight="1" spans="1:26">
      <c r="A66" s="4">
        <v>65</v>
      </c>
      <c r="B66" s="6" t="s">
        <v>260</v>
      </c>
      <c r="C66" s="6" t="s">
        <v>707</v>
      </c>
      <c r="D66" s="6" t="s">
        <v>610</v>
      </c>
      <c r="E66" s="6" t="s">
        <v>708</v>
      </c>
      <c r="F66" s="6" t="s">
        <v>260</v>
      </c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ht="22.5" customHeight="1" spans="1:26">
      <c r="A67" s="4">
        <v>66</v>
      </c>
      <c r="B67" s="6" t="s">
        <v>260</v>
      </c>
      <c r="C67" s="6" t="s">
        <v>709</v>
      </c>
      <c r="D67" s="6" t="s">
        <v>599</v>
      </c>
      <c r="E67" s="6" t="s">
        <v>710</v>
      </c>
      <c r="F67" s="6" t="s">
        <v>260</v>
      </c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ht="22.5" customHeight="1" spans="1:26">
      <c r="A68" s="4">
        <v>67</v>
      </c>
      <c r="B68" s="6" t="s">
        <v>260</v>
      </c>
      <c r="C68" s="6" t="s">
        <v>711</v>
      </c>
      <c r="D68" s="6" t="s">
        <v>612</v>
      </c>
      <c r="E68" s="6" t="s">
        <v>712</v>
      </c>
      <c r="F68" s="6" t="s">
        <v>260</v>
      </c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ht="22.5" customHeight="1" spans="1:26">
      <c r="A69" s="4">
        <v>68</v>
      </c>
      <c r="B69" s="6" t="s">
        <v>260</v>
      </c>
      <c r="C69" s="6" t="s">
        <v>286</v>
      </c>
      <c r="D69" s="6" t="s">
        <v>286</v>
      </c>
      <c r="E69" s="6" t="s">
        <v>713</v>
      </c>
      <c r="F69" s="6" t="s">
        <v>260</v>
      </c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ht="22.5" customHeight="1" spans="1:26">
      <c r="A70" s="4">
        <v>69</v>
      </c>
      <c r="B70" s="6" t="s">
        <v>260</v>
      </c>
      <c r="C70" s="6" t="s">
        <v>602</v>
      </c>
      <c r="D70" s="6" t="s">
        <v>602</v>
      </c>
      <c r="E70" s="6" t="s">
        <v>714</v>
      </c>
      <c r="F70" s="6" t="s">
        <v>260</v>
      </c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ht="22.5" customHeight="1" spans="1:26">
      <c r="A71" s="4">
        <v>70</v>
      </c>
      <c r="B71" s="6" t="s">
        <v>289</v>
      </c>
      <c r="C71" s="6" t="s">
        <v>55</v>
      </c>
      <c r="D71" s="6" t="s">
        <v>550</v>
      </c>
      <c r="E71" s="6" t="s">
        <v>715</v>
      </c>
      <c r="F71" s="6" t="s">
        <v>289</v>
      </c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ht="22.5" customHeight="1" spans="1:26">
      <c r="A72" s="4">
        <v>71</v>
      </c>
      <c r="B72" s="6" t="s">
        <v>289</v>
      </c>
      <c r="C72" s="6" t="s">
        <v>292</v>
      </c>
      <c r="D72" s="6" t="s">
        <v>551</v>
      </c>
      <c r="E72" s="6" t="s">
        <v>716</v>
      </c>
      <c r="F72" s="6" t="s">
        <v>289</v>
      </c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ht="22.5" customHeight="1" spans="1:26">
      <c r="A73" s="4">
        <v>72</v>
      </c>
      <c r="B73" s="6" t="s">
        <v>289</v>
      </c>
      <c r="C73" s="6" t="s">
        <v>295</v>
      </c>
      <c r="D73" s="6" t="s">
        <v>295</v>
      </c>
      <c r="E73" s="6" t="s">
        <v>717</v>
      </c>
      <c r="F73" s="6" t="s">
        <v>289</v>
      </c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ht="22.5" customHeight="1" spans="1:26">
      <c r="A74" s="4">
        <v>73</v>
      </c>
      <c r="B74" s="6" t="s">
        <v>289</v>
      </c>
      <c r="C74" s="6" t="s">
        <v>298</v>
      </c>
      <c r="D74" s="6" t="s">
        <v>298</v>
      </c>
      <c r="E74" s="6" t="s">
        <v>718</v>
      </c>
      <c r="F74" s="6" t="s">
        <v>289</v>
      </c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ht="22.5" customHeight="1" spans="1:26">
      <c r="A75" s="4">
        <v>74</v>
      </c>
      <c r="B75" s="6" t="s">
        <v>289</v>
      </c>
      <c r="C75" s="6" t="s">
        <v>719</v>
      </c>
      <c r="D75" s="6" t="s">
        <v>301</v>
      </c>
      <c r="E75" s="6" t="s">
        <v>720</v>
      </c>
      <c r="F75" s="6" t="s">
        <v>289</v>
      </c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ht="22.5" customHeight="1" spans="1:26">
      <c r="A76" s="4">
        <v>75</v>
      </c>
      <c r="B76" s="6" t="s">
        <v>289</v>
      </c>
      <c r="C76" s="6" t="s">
        <v>304</v>
      </c>
      <c r="D76" s="6" t="s">
        <v>566</v>
      </c>
      <c r="E76" s="6" t="s">
        <v>721</v>
      </c>
      <c r="F76" s="6" t="s">
        <v>289</v>
      </c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ht="22.5" customHeight="1" spans="1:26">
      <c r="A77" s="4">
        <v>76</v>
      </c>
      <c r="B77" s="6" t="s">
        <v>289</v>
      </c>
      <c r="C77" s="6" t="s">
        <v>307</v>
      </c>
      <c r="D77" s="6" t="s">
        <v>307</v>
      </c>
      <c r="E77" s="6" t="s">
        <v>722</v>
      </c>
      <c r="F77" s="6" t="s">
        <v>289</v>
      </c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ht="22.5" customHeight="1" spans="1:26">
      <c r="A78" s="4">
        <v>77</v>
      </c>
      <c r="B78" s="6" t="s">
        <v>289</v>
      </c>
      <c r="C78" s="6" t="s">
        <v>723</v>
      </c>
      <c r="D78" s="6" t="s">
        <v>606</v>
      </c>
      <c r="E78" s="6" t="s">
        <v>724</v>
      </c>
      <c r="F78" s="6" t="s">
        <v>289</v>
      </c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ht="22.5" customHeight="1" spans="1:26">
      <c r="A79" s="4">
        <v>78</v>
      </c>
      <c r="B79" s="6" t="s">
        <v>289</v>
      </c>
      <c r="C79" s="6" t="s">
        <v>313</v>
      </c>
      <c r="D79" s="6" t="s">
        <v>313</v>
      </c>
      <c r="E79" s="6" t="s">
        <v>725</v>
      </c>
      <c r="F79" s="6" t="s">
        <v>289</v>
      </c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ht="22.5" customHeight="1" spans="1:26">
      <c r="A80" s="4">
        <v>79</v>
      </c>
      <c r="B80" s="6" t="s">
        <v>289</v>
      </c>
      <c r="C80" s="6" t="s">
        <v>316</v>
      </c>
      <c r="D80" s="6" t="s">
        <v>316</v>
      </c>
      <c r="E80" s="6" t="s">
        <v>726</v>
      </c>
      <c r="F80" s="6" t="s">
        <v>289</v>
      </c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ht="22.5" customHeight="1" spans="1:26">
      <c r="A81" s="4">
        <v>80</v>
      </c>
      <c r="B81" s="6" t="s">
        <v>289</v>
      </c>
      <c r="C81" s="6" t="s">
        <v>319</v>
      </c>
      <c r="D81" s="6" t="s">
        <v>319</v>
      </c>
      <c r="E81" s="6" t="s">
        <v>727</v>
      </c>
      <c r="F81" s="6" t="s">
        <v>289</v>
      </c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ht="22.5" customHeight="1" spans="1:26">
      <c r="A82" s="4">
        <v>81</v>
      </c>
      <c r="B82" s="6" t="s">
        <v>322</v>
      </c>
      <c r="C82" s="6" t="s">
        <v>544</v>
      </c>
      <c r="D82" s="6" t="s">
        <v>544</v>
      </c>
      <c r="E82" s="6" t="s">
        <v>728</v>
      </c>
      <c r="F82" s="6" t="s">
        <v>322</v>
      </c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ht="22.5" customHeight="1" spans="1:26">
      <c r="A83" s="4">
        <v>82</v>
      </c>
      <c r="B83" s="6" t="s">
        <v>322</v>
      </c>
      <c r="C83" s="6" t="s">
        <v>326</v>
      </c>
      <c r="D83" s="6" t="s">
        <v>545</v>
      </c>
      <c r="E83" s="6" t="s">
        <v>729</v>
      </c>
      <c r="F83" s="6" t="s">
        <v>322</v>
      </c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ht="22.5" customHeight="1" spans="1:26">
      <c r="A84" s="4">
        <v>83</v>
      </c>
      <c r="B84" s="6" t="s">
        <v>322</v>
      </c>
      <c r="C84" s="6" t="s">
        <v>329</v>
      </c>
      <c r="D84" s="6" t="s">
        <v>60</v>
      </c>
      <c r="E84" s="6" t="s">
        <v>730</v>
      </c>
      <c r="F84" s="6" t="s">
        <v>322</v>
      </c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ht="22.5" customHeight="1" spans="1:26">
      <c r="A85" s="4">
        <v>84</v>
      </c>
      <c r="B85" s="6" t="s">
        <v>322</v>
      </c>
      <c r="C85" s="6" t="s">
        <v>61</v>
      </c>
      <c r="D85" s="6" t="s">
        <v>61</v>
      </c>
      <c r="E85" s="6" t="s">
        <v>731</v>
      </c>
      <c r="F85" s="6" t="s">
        <v>322</v>
      </c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ht="22.5" customHeight="1" spans="1:26">
      <c r="A86" s="4">
        <v>85</v>
      </c>
      <c r="B86" s="6" t="s">
        <v>322</v>
      </c>
      <c r="C86" s="6" t="s">
        <v>334</v>
      </c>
      <c r="D86" s="6" t="s">
        <v>334</v>
      </c>
      <c r="E86" s="6" t="s">
        <v>732</v>
      </c>
      <c r="F86" s="6" t="s">
        <v>322</v>
      </c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ht="22.5" customHeight="1" spans="1:26">
      <c r="A87" s="4">
        <v>86</v>
      </c>
      <c r="B87" s="6" t="s">
        <v>322</v>
      </c>
      <c r="C87" s="6" t="s">
        <v>337</v>
      </c>
      <c r="D87" s="6" t="s">
        <v>569</v>
      </c>
      <c r="E87" s="6" t="s">
        <v>733</v>
      </c>
      <c r="F87" s="6" t="s">
        <v>322</v>
      </c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ht="22.5" customHeight="1" spans="1:26">
      <c r="A88" s="4">
        <v>87</v>
      </c>
      <c r="B88" s="6" t="s">
        <v>322</v>
      </c>
      <c r="C88" s="6" t="s">
        <v>340</v>
      </c>
      <c r="D88" s="6" t="s">
        <v>340</v>
      </c>
      <c r="E88" s="6" t="s">
        <v>734</v>
      </c>
      <c r="F88" s="6" t="s">
        <v>322</v>
      </c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ht="22.5" customHeight="1" spans="1:26">
      <c r="A89" s="4">
        <v>88</v>
      </c>
      <c r="B89" s="6" t="s">
        <v>322</v>
      </c>
      <c r="C89" s="6" t="s">
        <v>346</v>
      </c>
      <c r="D89" s="6" t="s">
        <v>601</v>
      </c>
      <c r="E89" s="6" t="s">
        <v>735</v>
      </c>
      <c r="F89" s="6" t="s">
        <v>322</v>
      </c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ht="22.5" customHeight="1" spans="1:26">
      <c r="A90" s="4">
        <v>89</v>
      </c>
      <c r="B90" s="6" t="s">
        <v>322</v>
      </c>
      <c r="C90" s="6" t="s">
        <v>349</v>
      </c>
      <c r="D90" s="6" t="s">
        <v>349</v>
      </c>
      <c r="E90" s="6" t="s">
        <v>736</v>
      </c>
      <c r="F90" s="6" t="s">
        <v>322</v>
      </c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ht="22.5" customHeight="1" spans="1:26">
      <c r="A91" s="4">
        <v>90</v>
      </c>
      <c r="B91" s="6" t="s">
        <v>322</v>
      </c>
      <c r="C91" s="6" t="s">
        <v>352</v>
      </c>
      <c r="D91" s="6" t="s">
        <v>352</v>
      </c>
      <c r="E91" s="6" t="s">
        <v>737</v>
      </c>
      <c r="F91" s="6" t="s">
        <v>322</v>
      </c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ht="22.5" customHeight="1" spans="1:26">
      <c r="A92" s="4">
        <v>91</v>
      </c>
      <c r="B92" s="6" t="s">
        <v>322</v>
      </c>
      <c r="C92" s="6" t="s">
        <v>355</v>
      </c>
      <c r="D92" s="6" t="s">
        <v>355</v>
      </c>
      <c r="E92" s="6" t="s">
        <v>738</v>
      </c>
      <c r="F92" s="6" t="s">
        <v>322</v>
      </c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ht="22.5" customHeight="1" spans="1:26">
      <c r="A93" s="4">
        <v>92</v>
      </c>
      <c r="B93" s="6" t="s">
        <v>322</v>
      </c>
      <c r="C93" s="6" t="s">
        <v>739</v>
      </c>
      <c r="D93" s="6" t="s">
        <v>604</v>
      </c>
      <c r="E93" s="6" t="s">
        <v>740</v>
      </c>
      <c r="F93" s="6" t="s">
        <v>322</v>
      </c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ht="22.5" customHeight="1" spans="1:26">
      <c r="A94" s="4">
        <v>93</v>
      </c>
      <c r="B94" s="6" t="s">
        <v>322</v>
      </c>
      <c r="C94" s="6" t="s">
        <v>361</v>
      </c>
      <c r="D94" s="6" t="s">
        <v>590</v>
      </c>
      <c r="E94" s="6" t="s">
        <v>741</v>
      </c>
      <c r="F94" s="6" t="s">
        <v>322</v>
      </c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ht="22.5" customHeight="1" spans="1:26">
      <c r="A95" s="4">
        <v>94</v>
      </c>
      <c r="B95" s="6" t="s">
        <v>322</v>
      </c>
      <c r="C95" s="6" t="s">
        <v>365</v>
      </c>
      <c r="D95" s="6" t="s">
        <v>365</v>
      </c>
      <c r="E95" s="6" t="s">
        <v>742</v>
      </c>
      <c r="F95" s="6" t="s">
        <v>322</v>
      </c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ht="22.5" customHeight="1" spans="1:26">
      <c r="A96" s="4">
        <v>95</v>
      </c>
      <c r="B96" s="6" t="s">
        <v>322</v>
      </c>
      <c r="C96" s="6" t="s">
        <v>368</v>
      </c>
      <c r="D96" s="6" t="s">
        <v>368</v>
      </c>
      <c r="E96" s="6" t="s">
        <v>743</v>
      </c>
      <c r="F96" s="6" t="s">
        <v>322</v>
      </c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ht="22.5" customHeight="1" spans="1:26">
      <c r="A97" s="4">
        <v>96</v>
      </c>
      <c r="B97" s="6" t="s">
        <v>322</v>
      </c>
      <c r="C97" s="6" t="s">
        <v>371</v>
      </c>
      <c r="D97" s="6" t="s">
        <v>371</v>
      </c>
      <c r="E97" s="6" t="s">
        <v>744</v>
      </c>
      <c r="F97" s="6" t="s">
        <v>322</v>
      </c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ht="22.5" customHeight="1" spans="1:26">
      <c r="A98" s="4">
        <v>97</v>
      </c>
      <c r="B98" s="6" t="s">
        <v>322</v>
      </c>
      <c r="C98" s="6" t="s">
        <v>374</v>
      </c>
      <c r="D98" s="6" t="s">
        <v>374</v>
      </c>
      <c r="E98" s="6" t="s">
        <v>745</v>
      </c>
      <c r="F98" s="6" t="s">
        <v>322</v>
      </c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ht="22.5" customHeight="1" spans="1:26">
      <c r="A99" s="4">
        <v>98</v>
      </c>
      <c r="B99" s="6" t="s">
        <v>322</v>
      </c>
      <c r="C99" s="6" t="s">
        <v>377</v>
      </c>
      <c r="D99" s="6" t="s">
        <v>594</v>
      </c>
      <c r="E99" s="6" t="s">
        <v>746</v>
      </c>
      <c r="F99" s="6" t="s">
        <v>322</v>
      </c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ht="22.5" customHeight="1" spans="1:26">
      <c r="A100" s="4">
        <v>99</v>
      </c>
      <c r="B100" s="6" t="s">
        <v>322</v>
      </c>
      <c r="C100" s="6" t="s">
        <v>380</v>
      </c>
      <c r="D100" s="6" t="s">
        <v>380</v>
      </c>
      <c r="E100" s="6" t="s">
        <v>747</v>
      </c>
      <c r="F100" s="6" t="s">
        <v>322</v>
      </c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ht="22.5" customHeight="1" spans="1:26">
      <c r="A101" s="4">
        <v>100</v>
      </c>
      <c r="B101" s="6" t="s">
        <v>322</v>
      </c>
      <c r="C101" s="6" t="s">
        <v>748</v>
      </c>
      <c r="D101" s="6" t="s">
        <v>611</v>
      </c>
      <c r="E101" s="6" t="s">
        <v>749</v>
      </c>
      <c r="F101" s="6" t="s">
        <v>322</v>
      </c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ht="22.5" customHeight="1" spans="1:26">
      <c r="A102" s="4">
        <v>101</v>
      </c>
      <c r="B102" s="6" t="s">
        <v>322</v>
      </c>
      <c r="C102" s="6" t="s">
        <v>750</v>
      </c>
      <c r="D102" s="6" t="s">
        <v>584</v>
      </c>
      <c r="E102" s="6" t="s">
        <v>751</v>
      </c>
      <c r="F102" s="6" t="s">
        <v>322</v>
      </c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ht="22.5" customHeight="1" spans="1:26">
      <c r="A103" s="4">
        <v>102</v>
      </c>
      <c r="B103" s="6" t="s">
        <v>322</v>
      </c>
      <c r="C103" s="6" t="s">
        <v>752</v>
      </c>
      <c r="D103" s="6" t="s">
        <v>386</v>
      </c>
      <c r="E103" s="6" t="s">
        <v>753</v>
      </c>
      <c r="F103" s="6" t="s">
        <v>322</v>
      </c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ht="22.5" customHeight="1" spans="1:26">
      <c r="A104" s="4">
        <v>103</v>
      </c>
      <c r="B104" s="6" t="s">
        <v>322</v>
      </c>
      <c r="C104" s="6" t="s">
        <v>389</v>
      </c>
      <c r="D104" s="6" t="s">
        <v>389</v>
      </c>
      <c r="E104" s="6" t="s">
        <v>754</v>
      </c>
      <c r="F104" s="6" t="s">
        <v>322</v>
      </c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ht="22.5" customHeight="1" spans="1:26">
      <c r="A105" s="4">
        <v>104</v>
      </c>
      <c r="B105" s="6" t="s">
        <v>392</v>
      </c>
      <c r="C105" s="6" t="s">
        <v>755</v>
      </c>
      <c r="D105" s="6" t="s">
        <v>542</v>
      </c>
      <c r="E105" s="6" t="s">
        <v>756</v>
      </c>
      <c r="F105" s="6" t="s">
        <v>392</v>
      </c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ht="22.5" customHeight="1" spans="1:26">
      <c r="A106" s="4">
        <v>105</v>
      </c>
      <c r="B106" s="6" t="s">
        <v>392</v>
      </c>
      <c r="C106" s="6" t="s">
        <v>399</v>
      </c>
      <c r="D106" s="6" t="s">
        <v>399</v>
      </c>
      <c r="E106" s="6" t="s">
        <v>757</v>
      </c>
      <c r="F106" s="6" t="s">
        <v>392</v>
      </c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ht="22.5" customHeight="1" spans="1:26">
      <c r="A107" s="4">
        <v>106</v>
      </c>
      <c r="B107" s="6" t="s">
        <v>392</v>
      </c>
      <c r="C107" s="6" t="s">
        <v>547</v>
      </c>
      <c r="D107" s="6" t="s">
        <v>547</v>
      </c>
      <c r="E107" s="6" t="s">
        <v>758</v>
      </c>
      <c r="F107" s="6" t="s">
        <v>392</v>
      </c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ht="22.5" customHeight="1" spans="1:26">
      <c r="A108" s="4">
        <v>107</v>
      </c>
      <c r="B108" s="6" t="s">
        <v>392</v>
      </c>
      <c r="C108" s="6" t="s">
        <v>759</v>
      </c>
      <c r="D108" s="6" t="s">
        <v>552</v>
      </c>
      <c r="E108" s="6" t="s">
        <v>760</v>
      </c>
      <c r="F108" s="6" t="s">
        <v>392</v>
      </c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ht="22.5" customHeight="1" spans="1:26">
      <c r="A109" s="4">
        <v>108</v>
      </c>
      <c r="B109" s="6" t="s">
        <v>392</v>
      </c>
      <c r="C109" s="6" t="s">
        <v>558</v>
      </c>
      <c r="D109" s="6" t="s">
        <v>558</v>
      </c>
      <c r="E109" s="6" t="s">
        <v>761</v>
      </c>
      <c r="F109" s="6" t="s">
        <v>392</v>
      </c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ht="22.5" customHeight="1" spans="1:26">
      <c r="A110" s="4">
        <v>109</v>
      </c>
      <c r="B110" s="6" t="s">
        <v>392</v>
      </c>
      <c r="C110" s="6" t="s">
        <v>67</v>
      </c>
      <c r="D110" s="6" t="s">
        <v>67</v>
      </c>
      <c r="E110" s="6" t="s">
        <v>762</v>
      </c>
      <c r="F110" s="6" t="s">
        <v>392</v>
      </c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ht="22.5" customHeight="1" spans="1:26">
      <c r="A111" s="4">
        <v>110</v>
      </c>
      <c r="B111" s="6" t="s">
        <v>392</v>
      </c>
      <c r="C111" s="6" t="s">
        <v>410</v>
      </c>
      <c r="D111" s="6" t="s">
        <v>410</v>
      </c>
      <c r="E111" s="6" t="s">
        <v>763</v>
      </c>
      <c r="F111" s="6" t="s">
        <v>392</v>
      </c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ht="22.5" customHeight="1" spans="1:26">
      <c r="A112" s="4">
        <v>111</v>
      </c>
      <c r="B112" s="6" t="s">
        <v>392</v>
      </c>
      <c r="C112" s="6" t="s">
        <v>413</v>
      </c>
      <c r="D112" s="6" t="s">
        <v>413</v>
      </c>
      <c r="E112" s="6" t="s">
        <v>764</v>
      </c>
      <c r="F112" s="6" t="s">
        <v>392</v>
      </c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ht="22.5" customHeight="1" spans="1:26">
      <c r="A113" s="4">
        <v>112</v>
      </c>
      <c r="B113" s="6" t="s">
        <v>392</v>
      </c>
      <c r="C113" s="6" t="s">
        <v>765</v>
      </c>
      <c r="D113" s="6" t="s">
        <v>589</v>
      </c>
      <c r="E113" s="6" t="s">
        <v>766</v>
      </c>
      <c r="F113" s="6" t="s">
        <v>392</v>
      </c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ht="22.5" customHeight="1" spans="1:26">
      <c r="A114" s="4">
        <v>113</v>
      </c>
      <c r="B114" s="6" t="s">
        <v>392</v>
      </c>
      <c r="C114" s="6" t="s">
        <v>419</v>
      </c>
      <c r="D114" s="6" t="s">
        <v>419</v>
      </c>
      <c r="E114" s="6" t="s">
        <v>767</v>
      </c>
      <c r="F114" s="6" t="s">
        <v>392</v>
      </c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ht="22.5" customHeight="1" spans="1:26">
      <c r="A115" s="4">
        <v>114</v>
      </c>
      <c r="B115" s="6" t="s">
        <v>392</v>
      </c>
      <c r="C115" s="6" t="s">
        <v>422</v>
      </c>
      <c r="D115" s="6" t="s">
        <v>587</v>
      </c>
      <c r="E115" s="6" t="s">
        <v>768</v>
      </c>
      <c r="F115" s="6" t="s">
        <v>392</v>
      </c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ht="22.5" customHeight="1" spans="1:26">
      <c r="A116" s="4">
        <v>115</v>
      </c>
      <c r="B116" s="6" t="s">
        <v>392</v>
      </c>
      <c r="C116" s="6" t="s">
        <v>769</v>
      </c>
      <c r="D116" s="6" t="s">
        <v>449</v>
      </c>
      <c r="E116" s="6" t="s">
        <v>770</v>
      </c>
      <c r="F116" s="6" t="s">
        <v>392</v>
      </c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ht="22.5" customHeight="1" spans="1:26">
      <c r="A117" s="4">
        <v>116</v>
      </c>
      <c r="B117" s="6" t="s">
        <v>392</v>
      </c>
      <c r="C117" s="6" t="s">
        <v>425</v>
      </c>
      <c r="D117" s="6" t="s">
        <v>425</v>
      </c>
      <c r="E117" s="6" t="s">
        <v>771</v>
      </c>
      <c r="F117" s="6" t="s">
        <v>392</v>
      </c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ht="22.5" customHeight="1" spans="1:26">
      <c r="A118" s="4">
        <v>117</v>
      </c>
      <c r="B118" s="6" t="s">
        <v>392</v>
      </c>
      <c r="C118" s="6" t="s">
        <v>428</v>
      </c>
      <c r="D118" s="6" t="s">
        <v>428</v>
      </c>
      <c r="E118" s="6" t="s">
        <v>772</v>
      </c>
      <c r="F118" s="6" t="s">
        <v>392</v>
      </c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ht="22.5" customHeight="1" spans="1:26">
      <c r="A119" s="4">
        <v>118</v>
      </c>
      <c r="B119" s="6" t="s">
        <v>392</v>
      </c>
      <c r="C119" s="6" t="s">
        <v>431</v>
      </c>
      <c r="D119" s="6" t="s">
        <v>431</v>
      </c>
      <c r="E119" s="6" t="s">
        <v>773</v>
      </c>
      <c r="F119" s="6" t="s">
        <v>392</v>
      </c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ht="22.5" customHeight="1" spans="1:26">
      <c r="A120" s="4">
        <v>119</v>
      </c>
      <c r="B120" s="6" t="s">
        <v>392</v>
      </c>
      <c r="C120" s="6" t="s">
        <v>434</v>
      </c>
      <c r="D120" s="6" t="s">
        <v>434</v>
      </c>
      <c r="E120" s="6" t="s">
        <v>774</v>
      </c>
      <c r="F120" s="6" t="s">
        <v>392</v>
      </c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ht="22.5" customHeight="1" spans="1:26">
      <c r="A121" s="4">
        <v>120</v>
      </c>
      <c r="B121" s="6" t="s">
        <v>392</v>
      </c>
      <c r="C121" s="6" t="s">
        <v>437</v>
      </c>
      <c r="D121" s="6" t="s">
        <v>437</v>
      </c>
      <c r="E121" s="6" t="s">
        <v>775</v>
      </c>
      <c r="F121" s="6" t="s">
        <v>392</v>
      </c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ht="22.5" customHeight="1" spans="1:26">
      <c r="A122" s="4">
        <v>121</v>
      </c>
      <c r="B122" s="6" t="s">
        <v>392</v>
      </c>
      <c r="C122" s="6" t="s">
        <v>776</v>
      </c>
      <c r="D122" s="6" t="s">
        <v>777</v>
      </c>
      <c r="E122" s="6" t="s">
        <v>778</v>
      </c>
      <c r="F122" s="6" t="s">
        <v>392</v>
      </c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ht="22.5" customHeight="1" spans="1:26">
      <c r="A123" s="4">
        <v>122</v>
      </c>
      <c r="B123" s="6" t="s">
        <v>392</v>
      </c>
      <c r="C123" s="6" t="s">
        <v>779</v>
      </c>
      <c r="D123" s="6" t="s">
        <v>598</v>
      </c>
      <c r="E123" s="6" t="s">
        <v>780</v>
      </c>
      <c r="F123" s="6" t="s">
        <v>392</v>
      </c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ht="22.5" customHeight="1" spans="1:26">
      <c r="A124" s="4">
        <v>123</v>
      </c>
      <c r="B124" s="6" t="s">
        <v>392</v>
      </c>
      <c r="C124" s="6" t="s">
        <v>781</v>
      </c>
      <c r="D124" s="6" t="s">
        <v>782</v>
      </c>
      <c r="E124" s="6" t="s">
        <v>783</v>
      </c>
      <c r="F124" s="6" t="s">
        <v>392</v>
      </c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ht="22.5" customHeight="1" spans="1:26">
      <c r="A125" s="4">
        <v>124</v>
      </c>
      <c r="B125" s="6" t="s">
        <v>392</v>
      </c>
      <c r="C125" s="6" t="s">
        <v>784</v>
      </c>
      <c r="D125" s="6" t="s">
        <v>446</v>
      </c>
      <c r="E125" s="6" t="s">
        <v>785</v>
      </c>
      <c r="F125" s="6" t="s">
        <v>392</v>
      </c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ht="22.5" customHeight="1" spans="1:26">
      <c r="A126" s="4">
        <v>125</v>
      </c>
      <c r="B126" s="6" t="s">
        <v>392</v>
      </c>
      <c r="C126" s="6" t="s">
        <v>452</v>
      </c>
      <c r="D126" s="6" t="s">
        <v>452</v>
      </c>
      <c r="E126" s="6" t="s">
        <v>786</v>
      </c>
      <c r="F126" s="6" t="s">
        <v>392</v>
      </c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ht="22.5" customHeight="1" spans="1:26">
      <c r="A127" s="4">
        <v>126</v>
      </c>
      <c r="B127" s="6" t="s">
        <v>392</v>
      </c>
      <c r="C127" s="6" t="s">
        <v>458</v>
      </c>
      <c r="D127" s="6" t="s">
        <v>458</v>
      </c>
      <c r="E127" s="6" t="s">
        <v>787</v>
      </c>
      <c r="F127" s="6" t="s">
        <v>392</v>
      </c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ht="22.5" customHeight="1" spans="1:26">
      <c r="A128" s="4">
        <v>127</v>
      </c>
      <c r="B128" s="6" t="s">
        <v>392</v>
      </c>
      <c r="C128" s="6" t="s">
        <v>461</v>
      </c>
      <c r="D128" s="6" t="s">
        <v>461</v>
      </c>
      <c r="E128" s="6" t="s">
        <v>788</v>
      </c>
      <c r="F128" s="6" t="s">
        <v>392</v>
      </c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ht="22.5" customHeight="1" spans="1:26">
      <c r="A129" s="4">
        <v>128</v>
      </c>
      <c r="B129" s="6" t="s">
        <v>392</v>
      </c>
      <c r="C129" s="6" t="s">
        <v>464</v>
      </c>
      <c r="D129" s="6" t="s">
        <v>464</v>
      </c>
      <c r="E129" s="6" t="s">
        <v>789</v>
      </c>
      <c r="F129" s="6" t="s">
        <v>392</v>
      </c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ht="22.5" customHeight="1" spans="1:26">
      <c r="A130" s="4">
        <v>129</v>
      </c>
      <c r="B130" s="6" t="s">
        <v>392</v>
      </c>
      <c r="C130" s="6" t="s">
        <v>467</v>
      </c>
      <c r="D130" s="6" t="s">
        <v>609</v>
      </c>
      <c r="E130" s="6" t="s">
        <v>790</v>
      </c>
      <c r="F130" s="6" t="s">
        <v>392</v>
      </c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ht="22.5" customHeight="1" spans="1:26">
      <c r="A131" s="4">
        <v>130</v>
      </c>
      <c r="B131" s="6" t="s">
        <v>392</v>
      </c>
      <c r="C131" s="6" t="s">
        <v>470</v>
      </c>
      <c r="D131" s="6" t="s">
        <v>470</v>
      </c>
      <c r="E131" s="6" t="s">
        <v>791</v>
      </c>
      <c r="F131" s="6" t="s">
        <v>392</v>
      </c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ht="22.5" customHeight="1" spans="1:26">
      <c r="A132" s="4">
        <v>131</v>
      </c>
      <c r="B132" s="6" t="s">
        <v>473</v>
      </c>
      <c r="C132" s="6" t="s">
        <v>792</v>
      </c>
      <c r="D132" s="6" t="s">
        <v>538</v>
      </c>
      <c r="E132" s="6" t="s">
        <v>793</v>
      </c>
      <c r="F132" s="6" t="s">
        <v>473</v>
      </c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ht="22.5" customHeight="1" spans="1:26">
      <c r="A133" s="4">
        <v>132</v>
      </c>
      <c r="B133" s="6" t="s">
        <v>473</v>
      </c>
      <c r="C133" s="6" t="s">
        <v>70</v>
      </c>
      <c r="D133" s="6" t="s">
        <v>70</v>
      </c>
      <c r="E133" s="6" t="s">
        <v>794</v>
      </c>
      <c r="F133" s="6" t="s">
        <v>473</v>
      </c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ht="22.5" customHeight="1" spans="1:26">
      <c r="A134" s="4">
        <v>133</v>
      </c>
      <c r="B134" s="6" t="s">
        <v>473</v>
      </c>
      <c r="C134" s="6" t="s">
        <v>71</v>
      </c>
      <c r="D134" s="6" t="s">
        <v>541</v>
      </c>
      <c r="E134" s="6" t="s">
        <v>795</v>
      </c>
      <c r="F134" s="6" t="s">
        <v>473</v>
      </c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ht="22.5" customHeight="1" spans="1:26">
      <c r="A135" s="4">
        <v>134</v>
      </c>
      <c r="B135" s="6" t="s">
        <v>473</v>
      </c>
      <c r="C135" s="6" t="s">
        <v>796</v>
      </c>
      <c r="D135" s="6" t="s">
        <v>796</v>
      </c>
      <c r="E135" s="6" t="s">
        <v>797</v>
      </c>
      <c r="F135" s="6" t="s">
        <v>473</v>
      </c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ht="22.5" customHeight="1" spans="1:26">
      <c r="A136" s="4">
        <v>135</v>
      </c>
      <c r="B136" s="6" t="s">
        <v>473</v>
      </c>
      <c r="C136" s="6" t="s">
        <v>483</v>
      </c>
      <c r="D136" s="6" t="s">
        <v>556</v>
      </c>
      <c r="E136" s="6" t="s">
        <v>798</v>
      </c>
      <c r="F136" s="6" t="s">
        <v>473</v>
      </c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ht="22.5" customHeight="1" spans="1:26">
      <c r="A137" s="4">
        <v>136</v>
      </c>
      <c r="B137" s="6" t="s">
        <v>473</v>
      </c>
      <c r="C137" s="6" t="s">
        <v>799</v>
      </c>
      <c r="D137" s="6" t="s">
        <v>562</v>
      </c>
      <c r="E137" s="6" t="s">
        <v>800</v>
      </c>
      <c r="F137" s="6" t="s">
        <v>473</v>
      </c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ht="22.5" customHeight="1" spans="1:26">
      <c r="A138" s="4">
        <v>137</v>
      </c>
      <c r="B138" s="6" t="s">
        <v>473</v>
      </c>
      <c r="C138" s="6" t="s">
        <v>489</v>
      </c>
      <c r="D138" s="6" t="s">
        <v>564</v>
      </c>
      <c r="E138" s="6" t="s">
        <v>801</v>
      </c>
      <c r="F138" s="6" t="s">
        <v>473</v>
      </c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ht="22.5" customHeight="1" spans="1:26">
      <c r="A139" s="4">
        <v>138</v>
      </c>
      <c r="B139" s="6" t="s">
        <v>473</v>
      </c>
      <c r="C139" s="6" t="s">
        <v>492</v>
      </c>
      <c r="D139" s="6" t="s">
        <v>579</v>
      </c>
      <c r="E139" s="6" t="s">
        <v>802</v>
      </c>
      <c r="F139" s="6" t="s">
        <v>473</v>
      </c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ht="22.5" customHeight="1" spans="1:26">
      <c r="A140" s="4">
        <v>139</v>
      </c>
      <c r="B140" s="6" t="s">
        <v>473</v>
      </c>
      <c r="C140" s="6" t="s">
        <v>495</v>
      </c>
      <c r="D140" s="6" t="s">
        <v>572</v>
      </c>
      <c r="E140" s="6" t="s">
        <v>803</v>
      </c>
      <c r="F140" s="6" t="s">
        <v>473</v>
      </c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ht="22.5" customHeight="1" spans="1:26">
      <c r="A141" s="4">
        <v>140</v>
      </c>
      <c r="B141" s="6" t="s">
        <v>473</v>
      </c>
      <c r="C141" s="6" t="s">
        <v>498</v>
      </c>
      <c r="D141" s="6" t="s">
        <v>498</v>
      </c>
      <c r="E141" s="6" t="s">
        <v>804</v>
      </c>
      <c r="F141" s="6" t="s">
        <v>473</v>
      </c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ht="22.5" customHeight="1" spans="1:26">
      <c r="A142" s="4">
        <v>141</v>
      </c>
      <c r="B142" s="6" t="s">
        <v>473</v>
      </c>
      <c r="C142" s="6" t="s">
        <v>501</v>
      </c>
      <c r="D142" s="6" t="s">
        <v>501</v>
      </c>
      <c r="E142" s="6" t="s">
        <v>805</v>
      </c>
      <c r="F142" s="6" t="s">
        <v>473</v>
      </c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ht="22.5" customHeight="1" spans="1:26">
      <c r="A143" s="4">
        <v>142</v>
      </c>
      <c r="B143" s="6" t="s">
        <v>473</v>
      </c>
      <c r="C143" s="6" t="s">
        <v>504</v>
      </c>
      <c r="D143" s="6" t="s">
        <v>504</v>
      </c>
      <c r="E143" s="6" t="s">
        <v>806</v>
      </c>
      <c r="F143" s="6" t="s">
        <v>473</v>
      </c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ht="22.5" customHeight="1" spans="1:26">
      <c r="A144" s="4">
        <v>143</v>
      </c>
      <c r="B144" s="6" t="s">
        <v>473</v>
      </c>
      <c r="C144" s="6" t="s">
        <v>507</v>
      </c>
      <c r="D144" s="6" t="s">
        <v>585</v>
      </c>
      <c r="E144" s="6" t="s">
        <v>807</v>
      </c>
      <c r="F144" s="6" t="s">
        <v>473</v>
      </c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ht="22.5" customHeight="1" spans="1:26">
      <c r="A145" s="4">
        <v>144</v>
      </c>
      <c r="B145" s="6" t="s">
        <v>473</v>
      </c>
      <c r="C145" s="6" t="s">
        <v>513</v>
      </c>
      <c r="D145" s="6" t="s">
        <v>513</v>
      </c>
      <c r="E145" s="6" t="s">
        <v>808</v>
      </c>
      <c r="F145" s="6" t="s">
        <v>473</v>
      </c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ht="22.5" customHeight="1" spans="1:26">
      <c r="A146" s="4">
        <v>145</v>
      </c>
      <c r="B146" s="6" t="s">
        <v>473</v>
      </c>
      <c r="C146" s="6" t="s">
        <v>516</v>
      </c>
      <c r="D146" s="6" t="s">
        <v>516</v>
      </c>
      <c r="E146" s="6" t="s">
        <v>809</v>
      </c>
      <c r="F146" s="6" t="s">
        <v>473</v>
      </c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ht="22.5" customHeight="1" spans="1:26">
      <c r="A147" s="4">
        <v>146</v>
      </c>
      <c r="B147" s="6" t="s">
        <v>473</v>
      </c>
      <c r="C147" s="6" t="s">
        <v>810</v>
      </c>
      <c r="D147" s="6" t="s">
        <v>519</v>
      </c>
      <c r="E147" s="6" t="s">
        <v>811</v>
      </c>
      <c r="F147" s="6" t="s">
        <v>473</v>
      </c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ht="22.5" customHeight="1" spans="1:26">
      <c r="A148" s="4">
        <v>147</v>
      </c>
      <c r="B148" s="6" t="s">
        <v>473</v>
      </c>
      <c r="C148" s="6" t="s">
        <v>812</v>
      </c>
      <c r="D148" s="6" t="s">
        <v>510</v>
      </c>
      <c r="E148" s="6" t="s">
        <v>813</v>
      </c>
      <c r="F148" s="6" t="s">
        <v>473</v>
      </c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ht="22.5" customHeight="1" spans="1:26">
      <c r="A149" s="4">
        <v>148</v>
      </c>
      <c r="B149" s="6" t="s">
        <v>473</v>
      </c>
      <c r="C149" s="6" t="s">
        <v>522</v>
      </c>
      <c r="D149" s="6" t="s">
        <v>596</v>
      </c>
      <c r="E149" s="6" t="s">
        <v>814</v>
      </c>
      <c r="F149" s="6" t="s">
        <v>473</v>
      </c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ht="22.5" customHeight="1" spans="1:26">
      <c r="A150" s="4">
        <v>149</v>
      </c>
      <c r="B150" s="6" t="s">
        <v>473</v>
      </c>
      <c r="C150" s="6" t="s">
        <v>525</v>
      </c>
      <c r="D150" s="6" t="s">
        <v>525</v>
      </c>
      <c r="E150" s="6" t="s">
        <v>815</v>
      </c>
      <c r="F150" s="6" t="s">
        <v>473</v>
      </c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ht="22.5" customHeight="1" spans="1:26">
      <c r="A151" s="4">
        <v>150</v>
      </c>
      <c r="B151" s="6" t="s">
        <v>473</v>
      </c>
      <c r="C151" s="6" t="s">
        <v>528</v>
      </c>
      <c r="D151" s="6" t="s">
        <v>528</v>
      </c>
      <c r="E151" s="6" t="s">
        <v>816</v>
      </c>
      <c r="F151" s="6" t="s">
        <v>473</v>
      </c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ht="22.5" customHeight="1" spans="1:26">
      <c r="A152" s="4">
        <v>151</v>
      </c>
      <c r="B152" s="6" t="s">
        <v>473</v>
      </c>
      <c r="C152" s="6" t="s">
        <v>531</v>
      </c>
      <c r="D152" s="6" t="s">
        <v>817</v>
      </c>
      <c r="E152" s="6" t="s">
        <v>818</v>
      </c>
      <c r="F152" s="6" t="s">
        <v>473</v>
      </c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ht="22.5" customHeight="1" spans="1:26">
      <c r="A153" s="4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ht="22.5" customHeight="1" spans="1:26">
      <c r="A154" s="4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ht="22.5" customHeight="1" spans="1:26">
      <c r="A155" s="4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ht="22.5" customHeight="1" spans="1:26">
      <c r="A156" s="4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ht="22.5" customHeight="1" spans="1:26">
      <c r="A157" s="4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ht="22.5" customHeight="1" spans="1:26">
      <c r="A158" s="4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ht="22.5" customHeight="1" spans="1:26">
      <c r="A159" s="4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ht="22.5" customHeight="1" spans="1:26">
      <c r="A160" s="4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ht="22.5" customHeight="1" spans="1:26">
      <c r="A161" s="4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ht="22.5" customHeight="1" spans="1:26">
      <c r="A162" s="4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ht="22.5" customHeight="1" spans="1:26">
      <c r="A163" s="4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ht="22.5" customHeight="1" spans="1:26">
      <c r="A164" s="4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ht="22.5" customHeight="1" spans="1:26">
      <c r="A165" s="4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ht="22.5" customHeight="1" spans="1:26">
      <c r="A166" s="4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ht="22.5" customHeight="1" spans="1:26">
      <c r="A167" s="4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ht="22.5" customHeight="1" spans="1:26">
      <c r="A168" s="4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ht="22.5" customHeight="1" spans="1:26">
      <c r="A169" s="4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ht="22.5" customHeight="1" spans="1:26">
      <c r="A170" s="4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ht="22.5" customHeight="1" spans="1:26">
      <c r="A171" s="4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ht="22.5" customHeight="1" spans="1:26">
      <c r="A172" s="4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ht="22.5" customHeight="1" spans="1:26">
      <c r="A173" s="4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ht="22.5" customHeight="1" spans="1:26">
      <c r="A174" s="4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ht="22.5" customHeight="1" spans="1:26">
      <c r="A175" s="4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ht="22.5" customHeight="1" spans="1:26">
      <c r="A176" s="4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ht="22.5" customHeight="1" spans="1:26">
      <c r="A177" s="4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ht="22.5" customHeight="1" spans="1:26">
      <c r="A178" s="4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ht="22.5" customHeight="1" spans="1:26">
      <c r="A179" s="4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ht="22.5" customHeight="1" spans="1:26">
      <c r="A180" s="4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ht="22.5" customHeight="1" spans="1:26">
      <c r="A181" s="4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ht="22.5" customHeight="1" spans="1:26">
      <c r="A182" s="4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ht="22.5" customHeight="1" spans="1:26">
      <c r="A183" s="4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ht="22.5" customHeight="1" spans="1:26">
      <c r="A184" s="4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ht="22.5" customHeight="1" spans="1:26">
      <c r="A185" s="4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ht="22.5" customHeight="1" spans="1:26">
      <c r="A186" s="4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ht="22.5" customHeight="1" spans="1:26">
      <c r="A187" s="4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ht="22.5" customHeight="1" spans="1:26">
      <c r="A188" s="4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ht="22.5" customHeight="1" spans="1:26">
      <c r="A189" s="4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ht="22.5" customHeight="1" spans="1:26">
      <c r="A190" s="4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ht="22.5" customHeight="1" spans="1:26">
      <c r="A191" s="4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ht="22.5" customHeight="1" spans="1:26">
      <c r="A192" s="4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ht="22.5" customHeight="1" spans="1:26">
      <c r="A193" s="4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ht="22.5" customHeight="1" spans="1:26">
      <c r="A194" s="4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ht="22.5" customHeight="1" spans="1:26">
      <c r="A195" s="4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ht="22.5" customHeight="1" spans="1:26">
      <c r="A196" s="4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ht="22.5" customHeight="1" spans="1:26">
      <c r="A197" s="4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ht="22.5" customHeight="1" spans="1:26">
      <c r="A198" s="4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ht="22.5" customHeight="1" spans="1:26">
      <c r="A199" s="4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ht="22.5" customHeight="1" spans="1:26">
      <c r="A200" s="4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ht="22.5" customHeight="1" spans="1:26">
      <c r="A201" s="4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ht="22.5" customHeight="1" spans="1:26">
      <c r="A202" s="4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ht="22.5" customHeight="1" spans="1:26">
      <c r="A203" s="4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ht="22.5" customHeight="1" spans="1:26">
      <c r="A204" s="4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ht="22.5" customHeight="1" spans="1:26">
      <c r="A205" s="4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ht="22.5" customHeight="1" spans="1:26">
      <c r="A206" s="4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ht="22.5" customHeight="1" spans="1:26">
      <c r="A207" s="4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ht="22.5" customHeight="1" spans="1:26">
      <c r="A208" s="4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ht="22.5" customHeight="1" spans="1:26">
      <c r="A209" s="4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ht="22.5" customHeight="1" spans="1:26">
      <c r="A210" s="4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ht="22.5" customHeight="1" spans="1:26">
      <c r="A211" s="4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ht="22.5" customHeight="1" spans="1:26">
      <c r="A212" s="4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ht="22.5" customHeight="1" spans="1:26">
      <c r="A213" s="4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ht="22.5" customHeight="1" spans="1:26">
      <c r="A214" s="4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ht="22.5" customHeight="1" spans="1:26">
      <c r="A215" s="4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ht="22.5" customHeight="1" spans="1:26">
      <c r="A216" s="4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ht="22.5" customHeight="1" spans="1:26">
      <c r="A217" s="4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ht="22.5" customHeight="1" spans="1:26">
      <c r="A218" s="4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ht="22.5" customHeight="1" spans="1:26">
      <c r="A219" s="4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ht="22.5" customHeight="1" spans="1:26">
      <c r="A220" s="4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ht="22.5" customHeight="1" spans="1:26">
      <c r="A221" s="4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ht="22.5" customHeight="1" spans="1:26">
      <c r="A222" s="4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ht="22.5" customHeight="1" spans="1:26">
      <c r="A223" s="4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ht="22.5" customHeight="1" spans="1:26">
      <c r="A224" s="4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ht="22.5" customHeight="1" spans="1:26">
      <c r="A225" s="4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ht="22.5" customHeight="1" spans="1:26">
      <c r="A226" s="4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ht="22.5" customHeight="1" spans="1:26">
      <c r="A227" s="4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ht="22.5" customHeight="1" spans="1:26">
      <c r="A228" s="4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ht="22.5" customHeight="1" spans="1:26">
      <c r="A229" s="4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ht="22.5" customHeight="1" spans="1:26">
      <c r="A230" s="4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ht="22.5" customHeight="1" spans="1:26">
      <c r="A231" s="4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ht="22.5" customHeight="1" spans="1:26">
      <c r="A232" s="4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ht="22.5" customHeight="1" spans="1:26">
      <c r="A233" s="4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ht="22.5" customHeight="1" spans="1:26">
      <c r="A234" s="4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ht="22.5" customHeight="1" spans="1:26">
      <c r="A235" s="4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ht="22.5" customHeight="1" spans="1:26">
      <c r="A236" s="4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ht="22.5" customHeight="1" spans="1:26">
      <c r="A237" s="4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ht="22.5" customHeight="1" spans="1:26">
      <c r="A238" s="4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ht="22.5" customHeight="1" spans="1:26">
      <c r="A239" s="4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ht="22.5" customHeight="1" spans="1:26">
      <c r="A240" s="4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ht="22.5" customHeight="1" spans="1:26">
      <c r="A241" s="4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ht="22.5" customHeight="1" spans="1:26">
      <c r="A242" s="4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ht="22.5" customHeight="1" spans="1:26">
      <c r="A243" s="4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ht="22.5" customHeight="1" spans="1:26">
      <c r="A244" s="4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ht="22.5" customHeight="1" spans="1:26">
      <c r="A245" s="4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ht="22.5" customHeight="1" spans="1:26">
      <c r="A246" s="4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ht="22.5" customHeight="1" spans="1:26">
      <c r="A247" s="4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ht="22.5" customHeight="1" spans="1:26">
      <c r="A248" s="4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ht="22.5" customHeight="1" spans="1:26">
      <c r="A249" s="4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ht="22.5" customHeight="1" spans="1:26">
      <c r="A250" s="4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ht="22.5" customHeight="1" spans="1:26">
      <c r="A251" s="4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ht="22.5" customHeight="1" spans="1:26">
      <c r="A252" s="4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ht="22.5" customHeight="1" spans="1:26">
      <c r="A253" s="4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ht="22.5" customHeight="1" spans="1:26">
      <c r="A254" s="4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ht="22.5" customHeight="1" spans="1:26">
      <c r="A255" s="4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ht="22.5" customHeight="1" spans="1:26">
      <c r="A256" s="4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ht="22.5" customHeight="1" spans="1:26">
      <c r="A257" s="4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ht="22.5" customHeight="1" spans="1:26">
      <c r="A258" s="4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ht="22.5" customHeight="1" spans="1:26">
      <c r="A259" s="4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ht="22.5" customHeight="1" spans="1:26">
      <c r="A260" s="4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ht="22.5" customHeight="1" spans="1:26">
      <c r="A261" s="4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ht="22.5" customHeight="1" spans="1:26">
      <c r="A262" s="4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ht="22.5" customHeight="1" spans="1:26">
      <c r="A263" s="4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ht="22.5" customHeight="1" spans="1:26">
      <c r="A264" s="4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ht="22.5" customHeight="1" spans="1:26">
      <c r="A265" s="4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ht="22.5" customHeight="1" spans="1:26">
      <c r="A266" s="4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ht="22.5" customHeight="1" spans="1:26">
      <c r="A267" s="4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ht="22.5" customHeight="1" spans="1:26">
      <c r="A268" s="4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ht="22.5" customHeight="1" spans="1:26">
      <c r="A269" s="4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ht="22.5" customHeight="1" spans="1:26">
      <c r="A270" s="4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ht="22.5" customHeight="1" spans="1:26">
      <c r="A271" s="4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ht="22.5" customHeight="1" spans="1:26">
      <c r="A272" s="4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ht="22.5" customHeight="1" spans="1:26">
      <c r="A273" s="4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ht="22.5" customHeight="1" spans="1:26">
      <c r="A274" s="4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ht="22.5" customHeight="1" spans="1:26">
      <c r="A275" s="4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ht="22.5" customHeight="1" spans="1:26">
      <c r="A276" s="4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ht="22.5" customHeight="1" spans="1:26">
      <c r="A277" s="4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ht="22.5" customHeight="1" spans="1:26">
      <c r="A278" s="4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ht="22.5" customHeight="1" spans="1:26">
      <c r="A279" s="4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ht="22.5" customHeight="1" spans="1:26">
      <c r="A280" s="4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ht="22.5" customHeight="1" spans="1:26">
      <c r="A281" s="4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ht="22.5" customHeight="1" spans="1:26">
      <c r="A282" s="4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ht="22.5" customHeight="1" spans="1:26">
      <c r="A283" s="4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ht="22.5" customHeight="1" spans="1:26">
      <c r="A284" s="4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ht="22.5" customHeight="1" spans="1:26">
      <c r="A285" s="4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ht="22.5" customHeight="1" spans="1:26">
      <c r="A286" s="4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ht="22.5" customHeight="1" spans="1:26">
      <c r="A287" s="4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ht="22.5" customHeight="1" spans="1:26">
      <c r="A288" s="4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ht="22.5" customHeight="1" spans="1:26">
      <c r="A289" s="4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ht="22.5" customHeight="1" spans="1:26">
      <c r="A290" s="4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ht="22.5" customHeight="1" spans="1:26">
      <c r="A291" s="4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ht="22.5" customHeight="1" spans="1:26">
      <c r="A292" s="4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ht="22.5" customHeight="1" spans="1:26">
      <c r="A293" s="4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ht="22.5" customHeight="1" spans="1:26">
      <c r="A294" s="4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ht="22.5" customHeight="1" spans="1:26">
      <c r="A295" s="4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ht="22.5" customHeight="1" spans="1:26">
      <c r="A296" s="4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ht="22.5" customHeight="1" spans="1:26">
      <c r="A297" s="4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ht="22.5" customHeight="1" spans="1:26">
      <c r="A298" s="4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ht="22.5" customHeight="1" spans="1:26">
      <c r="A299" s="4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ht="22.5" customHeight="1" spans="1:26">
      <c r="A300" s="4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ht="22.5" customHeight="1" spans="1:26">
      <c r="A301" s="4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ht="22.5" customHeight="1" spans="1:26">
      <c r="A302" s="4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ht="22.5" customHeight="1" spans="1:26">
      <c r="A303" s="4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ht="22.5" customHeight="1" spans="1:26">
      <c r="A304" s="4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ht="22.5" customHeight="1" spans="1:26">
      <c r="A305" s="4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ht="22.5" customHeight="1" spans="1:26">
      <c r="A306" s="4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ht="22.5" customHeight="1" spans="1:26">
      <c r="A307" s="4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ht="22.5" customHeight="1" spans="1:26">
      <c r="A308" s="4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ht="22.5" customHeight="1" spans="1:26">
      <c r="A309" s="4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ht="22.5" customHeight="1" spans="1:26">
      <c r="A310" s="4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ht="22.5" customHeight="1" spans="1:26">
      <c r="A311" s="4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ht="22.5" customHeight="1" spans="1:26">
      <c r="A312" s="4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ht="22.5" customHeight="1" spans="1:26">
      <c r="A313" s="4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ht="22.5" customHeight="1" spans="1:26">
      <c r="A314" s="4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ht="22.5" customHeight="1" spans="1:26">
      <c r="A315" s="4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ht="22.5" customHeight="1" spans="1:26">
      <c r="A316" s="4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ht="22.5" customHeight="1" spans="1:26">
      <c r="A317" s="4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ht="22.5" customHeight="1" spans="1:26">
      <c r="A318" s="4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ht="22.5" customHeight="1" spans="1:26">
      <c r="A319" s="4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ht="22.5" customHeight="1" spans="1:26">
      <c r="A320" s="4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ht="22.5" customHeight="1" spans="1:26">
      <c r="A321" s="4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ht="22.5" customHeight="1" spans="1:26">
      <c r="A322" s="4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ht="22.5" customHeight="1" spans="1:26">
      <c r="A323" s="4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ht="22.5" customHeight="1" spans="1:26">
      <c r="A324" s="4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ht="22.5" customHeight="1" spans="1:26">
      <c r="A325" s="4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ht="22.5" customHeight="1" spans="1:26">
      <c r="A326" s="4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ht="22.5" customHeight="1" spans="1:26">
      <c r="A327" s="4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ht="22.5" customHeight="1" spans="1:26">
      <c r="A328" s="4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ht="22.5" customHeight="1" spans="1:26">
      <c r="A329" s="4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ht="22.5" customHeight="1" spans="1:26">
      <c r="A330" s="4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ht="22.5" customHeight="1" spans="1:26">
      <c r="A331" s="4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ht="22.5" customHeight="1" spans="1:26">
      <c r="A332" s="4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ht="22.5" customHeight="1" spans="1:26">
      <c r="A333" s="4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ht="22.5" customHeight="1" spans="1:26">
      <c r="A334" s="4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ht="22.5" customHeight="1" spans="1:26">
      <c r="A335" s="4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ht="22.5" customHeight="1" spans="1:26">
      <c r="A336" s="4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ht="22.5" customHeight="1" spans="1:26">
      <c r="A337" s="4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ht="22.5" customHeight="1" spans="1:26">
      <c r="A338" s="4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ht="22.5" customHeight="1" spans="1:26">
      <c r="A339" s="4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ht="22.5" customHeight="1" spans="1:26">
      <c r="A340" s="4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ht="22.5" customHeight="1" spans="1:26">
      <c r="A341" s="4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ht="22.5" customHeight="1" spans="1:26">
      <c r="A342" s="4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ht="22.5" customHeight="1" spans="1:26">
      <c r="A343" s="4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ht="22.5" customHeight="1" spans="1:26">
      <c r="A344" s="4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ht="22.5" customHeight="1" spans="1:26">
      <c r="A345" s="4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ht="22.5" customHeight="1" spans="1:26">
      <c r="A346" s="4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ht="22.5" customHeight="1" spans="1:26">
      <c r="A347" s="4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ht="22.5" customHeight="1" spans="1:26">
      <c r="A348" s="4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ht="22.5" customHeight="1" spans="1:26">
      <c r="A349" s="4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ht="22.5" customHeight="1" spans="1:26">
      <c r="A350" s="4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ht="22.5" customHeight="1" spans="1:26">
      <c r="A351" s="4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ht="22.5" customHeight="1" spans="1:26">
      <c r="A352" s="4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ht="22.5" customHeight="1" spans="1:26">
      <c r="A353" s="4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ht="22.5" customHeight="1" spans="1:26">
      <c r="A354" s="4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ht="22.5" customHeight="1" spans="1:26">
      <c r="A355" s="4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ht="22.5" customHeight="1" spans="1:26">
      <c r="A356" s="4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ht="22.5" customHeight="1" spans="1:26">
      <c r="A357" s="4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ht="22.5" customHeight="1" spans="1:26">
      <c r="A358" s="4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ht="22.5" customHeight="1" spans="1:26">
      <c r="A359" s="4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ht="22.5" customHeight="1" spans="1:26">
      <c r="A360" s="4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ht="22.5" customHeight="1" spans="1:26">
      <c r="A361" s="4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ht="22.5" customHeight="1" spans="1:26">
      <c r="A362" s="4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ht="22.5" customHeight="1" spans="1:26">
      <c r="A363" s="4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ht="22.5" customHeight="1" spans="1:26">
      <c r="A364" s="4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ht="22.5" customHeight="1" spans="1:26">
      <c r="A365" s="4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ht="22.5" customHeight="1" spans="1:26">
      <c r="A366" s="4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ht="22.5" customHeight="1" spans="1:26">
      <c r="A367" s="4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ht="22.5" customHeight="1" spans="1:26">
      <c r="A368" s="4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ht="22.5" customHeight="1" spans="1:26">
      <c r="A369" s="4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ht="22.5" customHeight="1" spans="1:26">
      <c r="A370" s="4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ht="22.5" customHeight="1" spans="1:26">
      <c r="A371" s="4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ht="22.5" customHeight="1" spans="1:26">
      <c r="A372" s="4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ht="22.5" customHeight="1" spans="1:26">
      <c r="A373" s="4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ht="22.5" customHeight="1" spans="1:26">
      <c r="A374" s="4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ht="22.5" customHeight="1" spans="1:26">
      <c r="A375" s="4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ht="22.5" customHeight="1" spans="1:26">
      <c r="A376" s="4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ht="22.5" customHeight="1" spans="1:26">
      <c r="A377" s="4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ht="22.5" customHeight="1" spans="1:26">
      <c r="A378" s="4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ht="22.5" customHeight="1" spans="1:26">
      <c r="A379" s="4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ht="22.5" customHeight="1" spans="1:26">
      <c r="A380" s="4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ht="22.5" customHeight="1" spans="1:26">
      <c r="A381" s="4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ht="22.5" customHeight="1" spans="1:26">
      <c r="A382" s="4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ht="22.5" customHeight="1" spans="1:26">
      <c r="A383" s="4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ht="22.5" customHeight="1" spans="1:26">
      <c r="A384" s="4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ht="22.5" customHeight="1" spans="1:26">
      <c r="A385" s="4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ht="22.5" customHeight="1" spans="1:26">
      <c r="A386" s="4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ht="22.5" customHeight="1" spans="1:26">
      <c r="A387" s="4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ht="22.5" customHeight="1" spans="1:26">
      <c r="A388" s="4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ht="22.5" customHeight="1" spans="1:26">
      <c r="A389" s="4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ht="22.5" customHeight="1" spans="1:26">
      <c r="A390" s="4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ht="22.5" customHeight="1" spans="1:26">
      <c r="A391" s="4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ht="22.5" customHeight="1" spans="1:26">
      <c r="A392" s="4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ht="22.5" customHeight="1" spans="1:26">
      <c r="A393" s="4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ht="22.5" customHeight="1" spans="1:26">
      <c r="A394" s="4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ht="22.5" customHeight="1" spans="1:26">
      <c r="A395" s="4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ht="22.5" customHeight="1" spans="1:26">
      <c r="A396" s="4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ht="22.5" customHeight="1" spans="1:26">
      <c r="A397" s="4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ht="22.5" customHeight="1" spans="1:26">
      <c r="A398" s="4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ht="22.5" customHeight="1" spans="1:26">
      <c r="A399" s="4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ht="22.5" customHeight="1" spans="1:26">
      <c r="A400" s="4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ht="22.5" customHeight="1" spans="1:26">
      <c r="A401" s="4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ht="22.5" customHeight="1" spans="1:26">
      <c r="A402" s="4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ht="22.5" customHeight="1" spans="1:26">
      <c r="A403" s="4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ht="22.5" customHeight="1" spans="1:26">
      <c r="A404" s="4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ht="22.5" customHeight="1" spans="1:26">
      <c r="A405" s="4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ht="22.5" customHeight="1" spans="1:26">
      <c r="A406" s="4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ht="22.5" customHeight="1" spans="1:26">
      <c r="A407" s="4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ht="22.5" customHeight="1" spans="1:26">
      <c r="A408" s="4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ht="22.5" customHeight="1" spans="1:26">
      <c r="A409" s="4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ht="22.5" customHeight="1" spans="1:26">
      <c r="A410" s="4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ht="22.5" customHeight="1" spans="1:26">
      <c r="A411" s="4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ht="22.5" customHeight="1" spans="1:26">
      <c r="A412" s="4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ht="22.5" customHeight="1" spans="1:26">
      <c r="A413" s="4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ht="22.5" customHeight="1" spans="1:26">
      <c r="A414" s="4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ht="22.5" customHeight="1" spans="1:26">
      <c r="A415" s="4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ht="22.5" customHeight="1" spans="1:26">
      <c r="A416" s="4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ht="22.5" customHeight="1" spans="1:26">
      <c r="A417" s="4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ht="22.5" customHeight="1" spans="1:26">
      <c r="A418" s="4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ht="22.5" customHeight="1" spans="1:26">
      <c r="A419" s="4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ht="22.5" customHeight="1" spans="1:26">
      <c r="A420" s="4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ht="22.5" customHeight="1" spans="1:26">
      <c r="A421" s="4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ht="22.5" customHeight="1" spans="1:26">
      <c r="A422" s="4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ht="22.5" customHeight="1" spans="1:26">
      <c r="A423" s="4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ht="22.5" customHeight="1" spans="1:26">
      <c r="A424" s="4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ht="22.5" customHeight="1" spans="1:26">
      <c r="A425" s="4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ht="22.5" customHeight="1" spans="1:26">
      <c r="A426" s="4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ht="22.5" customHeight="1" spans="1:26">
      <c r="A427" s="4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ht="22.5" customHeight="1" spans="1:26">
      <c r="A428" s="4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ht="22.5" customHeight="1" spans="1:26">
      <c r="A429" s="4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ht="22.5" customHeight="1" spans="1:26">
      <c r="A430" s="4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ht="22.5" customHeight="1" spans="1:26">
      <c r="A431" s="4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ht="22.5" customHeight="1" spans="1:26">
      <c r="A432" s="4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ht="22.5" customHeight="1" spans="1:26">
      <c r="A433" s="4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ht="22.5" customHeight="1" spans="1:26">
      <c r="A434" s="4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ht="22.5" customHeight="1" spans="1:26">
      <c r="A435" s="4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ht="22.5" customHeight="1" spans="1:26">
      <c r="A436" s="4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ht="22.5" customHeight="1" spans="1:26">
      <c r="A437" s="4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ht="22.5" customHeight="1" spans="1:26">
      <c r="A438" s="4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ht="22.5" customHeight="1" spans="1:26">
      <c r="A439" s="4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ht="22.5" customHeight="1" spans="1:26">
      <c r="A440" s="4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ht="22.5" customHeight="1" spans="1:26">
      <c r="A441" s="4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ht="22.5" customHeight="1" spans="1:26">
      <c r="A442" s="4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ht="22.5" customHeight="1" spans="1:26">
      <c r="A443" s="4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ht="22.5" customHeight="1" spans="1:26">
      <c r="A444" s="4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ht="22.5" customHeight="1" spans="1:26">
      <c r="A445" s="4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ht="22.5" customHeight="1" spans="1:26">
      <c r="A446" s="4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ht="22.5" customHeight="1" spans="1:26">
      <c r="A447" s="4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ht="22.5" customHeight="1" spans="1:26">
      <c r="A448" s="4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ht="22.5" customHeight="1" spans="1:26">
      <c r="A449" s="4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ht="22.5" customHeight="1" spans="1:26">
      <c r="A450" s="4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ht="22.5" customHeight="1" spans="1:26">
      <c r="A451" s="4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ht="22.5" customHeight="1" spans="1:26">
      <c r="A452" s="4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ht="22.5" customHeight="1" spans="1:26">
      <c r="A453" s="4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ht="22.5" customHeight="1" spans="1:26">
      <c r="A454" s="4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ht="22.5" customHeight="1" spans="1:26">
      <c r="A455" s="4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ht="22.5" customHeight="1" spans="1:26">
      <c r="A456" s="4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ht="22.5" customHeight="1" spans="1:26">
      <c r="A457" s="4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ht="22.5" customHeight="1" spans="1:26">
      <c r="A458" s="4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ht="22.5" customHeight="1" spans="1:26">
      <c r="A459" s="4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ht="22.5" customHeight="1" spans="1:26">
      <c r="A460" s="4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ht="22.5" customHeight="1" spans="1:26">
      <c r="A461" s="4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ht="22.5" customHeight="1" spans="1:26">
      <c r="A462" s="4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ht="22.5" customHeight="1" spans="1:26">
      <c r="A463" s="4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ht="22.5" customHeight="1" spans="1:26">
      <c r="A464" s="4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ht="22.5" customHeight="1" spans="1:26">
      <c r="A465" s="4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ht="22.5" customHeight="1" spans="1:26">
      <c r="A466" s="4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ht="22.5" customHeight="1" spans="1:26">
      <c r="A467" s="4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ht="22.5" customHeight="1" spans="1:26">
      <c r="A468" s="4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ht="22.5" customHeight="1" spans="1:26">
      <c r="A469" s="4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ht="22.5" customHeight="1" spans="1:26">
      <c r="A470" s="4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ht="22.5" customHeight="1" spans="1:26">
      <c r="A471" s="4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ht="22.5" customHeight="1" spans="1:26">
      <c r="A472" s="4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ht="22.5" customHeight="1" spans="1:26">
      <c r="A473" s="4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ht="22.5" customHeight="1" spans="1:26">
      <c r="A474" s="4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ht="22.5" customHeight="1" spans="1:26">
      <c r="A475" s="4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ht="22.5" customHeight="1" spans="1:26">
      <c r="A476" s="4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ht="22.5" customHeight="1" spans="1:26">
      <c r="A477" s="4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ht="22.5" customHeight="1" spans="1:26">
      <c r="A478" s="4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ht="22.5" customHeight="1" spans="1:26">
      <c r="A479" s="4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ht="22.5" customHeight="1" spans="1:26">
      <c r="A480" s="4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ht="22.5" customHeight="1" spans="1:26">
      <c r="A481" s="4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ht="22.5" customHeight="1" spans="1:26">
      <c r="A482" s="4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ht="22.5" customHeight="1" spans="1:26">
      <c r="A483" s="4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ht="22.5" customHeight="1" spans="1:26">
      <c r="A484" s="4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ht="22.5" customHeight="1" spans="1:26">
      <c r="A485" s="4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ht="22.5" customHeight="1" spans="1:26">
      <c r="A486" s="4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ht="22.5" customHeight="1" spans="1:26">
      <c r="A487" s="4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ht="22.5" customHeight="1" spans="1:26">
      <c r="A488" s="4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ht="22.5" customHeight="1" spans="1:26">
      <c r="A489" s="4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ht="22.5" customHeight="1" spans="1:26">
      <c r="A490" s="4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ht="22.5" customHeight="1" spans="1:26">
      <c r="A491" s="4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ht="22.5" customHeight="1" spans="1:26">
      <c r="A492" s="4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ht="22.5" customHeight="1" spans="1:26">
      <c r="A493" s="4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ht="22.5" customHeight="1" spans="1:26">
      <c r="A494" s="4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ht="22.5" customHeight="1" spans="1:26">
      <c r="A495" s="4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ht="22.5" customHeight="1" spans="1:26">
      <c r="A496" s="4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ht="22.5" customHeight="1" spans="1:26">
      <c r="A497" s="4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ht="22.5" customHeight="1" spans="1:26">
      <c r="A498" s="4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ht="22.5" customHeight="1" spans="1:26">
      <c r="A499" s="4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ht="22.5" customHeight="1" spans="1:26">
      <c r="A500" s="4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ht="22.5" customHeight="1" spans="1:26">
      <c r="A501" s="4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ht="22.5" customHeight="1" spans="1:26">
      <c r="A502" s="4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ht="22.5" customHeight="1" spans="1:26">
      <c r="A503" s="4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ht="22.5" customHeight="1" spans="1:26">
      <c r="A504" s="4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ht="22.5" customHeight="1" spans="1:26">
      <c r="A505" s="4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ht="22.5" customHeight="1" spans="1:26">
      <c r="A506" s="4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ht="22.5" customHeight="1" spans="1:26">
      <c r="A507" s="4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ht="22.5" customHeight="1" spans="1:26">
      <c r="A508" s="4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ht="22.5" customHeight="1" spans="1:26">
      <c r="A509" s="4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ht="22.5" customHeight="1" spans="1:26">
      <c r="A510" s="4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ht="22.5" customHeight="1" spans="1:26">
      <c r="A511" s="4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ht="22.5" customHeight="1" spans="1:26">
      <c r="A512" s="4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ht="22.5" customHeight="1" spans="1:26">
      <c r="A513" s="4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ht="22.5" customHeight="1" spans="1:26">
      <c r="A514" s="4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ht="22.5" customHeight="1" spans="1:26">
      <c r="A515" s="4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ht="22.5" customHeight="1" spans="1:26">
      <c r="A516" s="4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ht="22.5" customHeight="1" spans="1:26">
      <c r="A517" s="4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ht="22.5" customHeight="1" spans="1:26">
      <c r="A518" s="4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ht="22.5" customHeight="1" spans="1:26">
      <c r="A519" s="4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ht="22.5" customHeight="1" spans="1:26">
      <c r="A520" s="4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ht="22.5" customHeight="1" spans="1:26">
      <c r="A521" s="4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ht="22.5" customHeight="1" spans="1:26">
      <c r="A522" s="4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ht="22.5" customHeight="1" spans="1:26">
      <c r="A523" s="4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ht="22.5" customHeight="1" spans="1:26">
      <c r="A524" s="4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ht="22.5" customHeight="1" spans="1:26">
      <c r="A525" s="4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ht="22.5" customHeight="1" spans="1:26">
      <c r="A526" s="4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ht="22.5" customHeight="1" spans="1:26">
      <c r="A527" s="4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ht="22.5" customHeight="1" spans="1:26">
      <c r="A528" s="4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ht="22.5" customHeight="1" spans="1:26">
      <c r="A529" s="4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ht="22.5" customHeight="1" spans="1:26">
      <c r="A530" s="4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ht="22.5" customHeight="1" spans="1:26">
      <c r="A531" s="4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ht="22.5" customHeight="1" spans="1:26">
      <c r="A532" s="4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ht="22.5" customHeight="1" spans="1:26">
      <c r="A533" s="4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ht="22.5" customHeight="1" spans="1:26">
      <c r="A534" s="4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ht="22.5" customHeight="1" spans="1:26">
      <c r="A535" s="4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ht="22.5" customHeight="1" spans="1:26">
      <c r="A536" s="4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ht="22.5" customHeight="1" spans="1:26">
      <c r="A537" s="4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ht="22.5" customHeight="1" spans="1:26">
      <c r="A538" s="4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ht="22.5" customHeight="1" spans="1:26">
      <c r="A539" s="4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ht="22.5" customHeight="1" spans="1:26">
      <c r="A540" s="4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ht="22.5" customHeight="1" spans="1:26">
      <c r="A541" s="4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ht="22.5" customHeight="1" spans="1:26">
      <c r="A542" s="4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ht="22.5" customHeight="1" spans="1:26">
      <c r="A543" s="4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ht="22.5" customHeight="1" spans="1:26">
      <c r="A544" s="4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ht="22.5" customHeight="1" spans="1:26">
      <c r="A545" s="4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ht="22.5" customHeight="1" spans="1:26">
      <c r="A546" s="4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ht="22.5" customHeight="1" spans="1:26">
      <c r="A547" s="4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ht="22.5" customHeight="1" spans="1:26">
      <c r="A548" s="4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ht="22.5" customHeight="1" spans="1:26">
      <c r="A549" s="4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ht="22.5" customHeight="1" spans="1:26">
      <c r="A550" s="4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ht="22.5" customHeight="1" spans="1:26">
      <c r="A551" s="4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ht="22.5" customHeight="1" spans="1:26">
      <c r="A552" s="4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ht="22.5" customHeight="1" spans="1:26">
      <c r="A553" s="4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ht="22.5" customHeight="1" spans="1:26">
      <c r="A554" s="4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ht="22.5" customHeight="1" spans="1:26">
      <c r="A555" s="4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ht="22.5" customHeight="1" spans="1:26">
      <c r="A556" s="4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ht="22.5" customHeight="1" spans="1:26">
      <c r="A557" s="4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ht="22.5" customHeight="1" spans="1:26">
      <c r="A558" s="4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ht="22.5" customHeight="1" spans="1:26">
      <c r="A559" s="4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ht="22.5" customHeight="1" spans="1:26">
      <c r="A560" s="4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ht="22.5" customHeight="1" spans="1:26">
      <c r="A561" s="4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ht="22.5" customHeight="1" spans="1:26">
      <c r="A562" s="4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ht="22.5" customHeight="1" spans="1:26">
      <c r="A563" s="4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ht="22.5" customHeight="1" spans="1:26">
      <c r="A564" s="4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ht="22.5" customHeight="1" spans="1:26">
      <c r="A565" s="4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ht="22.5" customHeight="1" spans="1:26">
      <c r="A566" s="4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ht="22.5" customHeight="1" spans="1:26">
      <c r="A567" s="4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ht="22.5" customHeight="1" spans="1:26">
      <c r="A568" s="4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ht="22.5" customHeight="1" spans="1:26">
      <c r="A569" s="4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ht="22.5" customHeight="1" spans="1:26">
      <c r="A570" s="4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ht="22.5" customHeight="1" spans="1:26">
      <c r="A571" s="4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ht="22.5" customHeight="1" spans="1:26">
      <c r="A572" s="4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ht="22.5" customHeight="1" spans="1:26">
      <c r="A573" s="4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ht="22.5" customHeight="1" spans="1:26">
      <c r="A574" s="4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ht="22.5" customHeight="1" spans="1:26">
      <c r="A575" s="4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ht="22.5" customHeight="1" spans="1:26">
      <c r="A576" s="4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ht="22.5" customHeight="1" spans="1:26">
      <c r="A577" s="4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ht="22.5" customHeight="1" spans="1:26">
      <c r="A578" s="4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ht="22.5" customHeight="1" spans="1:26">
      <c r="A579" s="4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ht="22.5" customHeight="1" spans="1:26">
      <c r="A580" s="4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ht="22.5" customHeight="1" spans="1:26">
      <c r="A581" s="4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ht="22.5" customHeight="1" spans="1:26">
      <c r="A582" s="4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ht="22.5" customHeight="1" spans="1:26">
      <c r="A583" s="4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ht="22.5" customHeight="1" spans="1:26">
      <c r="A584" s="4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ht="22.5" customHeight="1" spans="1:26">
      <c r="A585" s="4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ht="22.5" customHeight="1" spans="1:26">
      <c r="A586" s="4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ht="22.5" customHeight="1" spans="1:26">
      <c r="A587" s="4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ht="22.5" customHeight="1" spans="1:26">
      <c r="A588" s="4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ht="22.5" customHeight="1" spans="1:26">
      <c r="A589" s="4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ht="22.5" customHeight="1" spans="1:26">
      <c r="A590" s="4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ht="22.5" customHeight="1" spans="1:26">
      <c r="A591" s="4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ht="22.5" customHeight="1" spans="1:26">
      <c r="A592" s="4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ht="22.5" customHeight="1" spans="1:26">
      <c r="A593" s="4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ht="22.5" customHeight="1" spans="1:26">
      <c r="A594" s="4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ht="22.5" customHeight="1" spans="1:26">
      <c r="A595" s="4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ht="22.5" customHeight="1" spans="1:26">
      <c r="A596" s="4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ht="22.5" customHeight="1" spans="1:26">
      <c r="A597" s="4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ht="22.5" customHeight="1" spans="1:26">
      <c r="A598" s="4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ht="22.5" customHeight="1" spans="1:26">
      <c r="A599" s="4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ht="22.5" customHeight="1" spans="1:26">
      <c r="A600" s="4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ht="22.5" customHeight="1" spans="1:26">
      <c r="A601" s="4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ht="22.5" customHeight="1" spans="1:26">
      <c r="A602" s="4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ht="22.5" customHeight="1" spans="1:26">
      <c r="A603" s="4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ht="22.5" customHeight="1" spans="1:26">
      <c r="A604" s="4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ht="22.5" customHeight="1" spans="1:26">
      <c r="A605" s="4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ht="22.5" customHeight="1" spans="1:26">
      <c r="A606" s="4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ht="22.5" customHeight="1" spans="1:26">
      <c r="A607" s="4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ht="22.5" customHeight="1" spans="1:26">
      <c r="A608" s="4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ht="22.5" customHeight="1" spans="1:26">
      <c r="A609" s="4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ht="22.5" customHeight="1" spans="1:26">
      <c r="A610" s="4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ht="22.5" customHeight="1" spans="1:26">
      <c r="A611" s="4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ht="22.5" customHeight="1" spans="1:26">
      <c r="A612" s="4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ht="22.5" customHeight="1" spans="1:26">
      <c r="A613" s="4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ht="22.5" customHeight="1" spans="1:26">
      <c r="A614" s="4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ht="22.5" customHeight="1" spans="1:26">
      <c r="A615" s="4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ht="22.5" customHeight="1" spans="1:26">
      <c r="A616" s="4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ht="22.5" customHeight="1" spans="1:26">
      <c r="A617" s="4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ht="22.5" customHeight="1" spans="1:26">
      <c r="A618" s="4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ht="22.5" customHeight="1" spans="1:26">
      <c r="A619" s="4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ht="22.5" customHeight="1" spans="1:26">
      <c r="A620" s="4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ht="22.5" customHeight="1" spans="1:26">
      <c r="A621" s="4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ht="22.5" customHeight="1" spans="1:26">
      <c r="A622" s="4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ht="22.5" customHeight="1" spans="1:26">
      <c r="A623" s="4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ht="22.5" customHeight="1" spans="1:26">
      <c r="A624" s="4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ht="22.5" customHeight="1" spans="1:26">
      <c r="A625" s="4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ht="22.5" customHeight="1" spans="1:26">
      <c r="A626" s="4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ht="22.5" customHeight="1" spans="1:26">
      <c r="A627" s="4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ht="22.5" customHeight="1" spans="1:26">
      <c r="A628" s="4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ht="22.5" customHeight="1" spans="1:26">
      <c r="A629" s="4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ht="22.5" customHeight="1" spans="1:26">
      <c r="A630" s="4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ht="22.5" customHeight="1" spans="1:26">
      <c r="A631" s="4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ht="22.5" customHeight="1" spans="1:26">
      <c r="A632" s="4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ht="22.5" customHeight="1" spans="1:26">
      <c r="A633" s="4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ht="22.5" customHeight="1" spans="1:26">
      <c r="A634" s="4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ht="22.5" customHeight="1" spans="1:26">
      <c r="A635" s="4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ht="22.5" customHeight="1" spans="1:26">
      <c r="A636" s="4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ht="22.5" customHeight="1" spans="1:26">
      <c r="A637" s="4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ht="22.5" customHeight="1" spans="1:26">
      <c r="A638" s="4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ht="22.5" customHeight="1" spans="1:26">
      <c r="A639" s="4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ht="22.5" customHeight="1" spans="1:26">
      <c r="A640" s="4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ht="22.5" customHeight="1" spans="1:26">
      <c r="A641" s="4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ht="22.5" customHeight="1" spans="1:26">
      <c r="A642" s="4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ht="22.5" customHeight="1" spans="1:26">
      <c r="A643" s="4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ht="22.5" customHeight="1" spans="1:26">
      <c r="A644" s="4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ht="22.5" customHeight="1" spans="1:26">
      <c r="A645" s="4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ht="22.5" customHeight="1" spans="1:26">
      <c r="A646" s="4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ht="22.5" customHeight="1" spans="1:26">
      <c r="A647" s="4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ht="22.5" customHeight="1" spans="1:26">
      <c r="A648" s="4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ht="22.5" customHeight="1" spans="1:26">
      <c r="A649" s="4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ht="22.5" customHeight="1" spans="1:26">
      <c r="A650" s="4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ht="22.5" customHeight="1" spans="1:26">
      <c r="A651" s="4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ht="22.5" customHeight="1" spans="1:26">
      <c r="A652" s="4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ht="22.5" customHeight="1" spans="1:26">
      <c r="A653" s="4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ht="22.5" customHeight="1" spans="1:26">
      <c r="A654" s="4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ht="22.5" customHeight="1" spans="1:26">
      <c r="A655" s="4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ht="22.5" customHeight="1" spans="1:26">
      <c r="A656" s="4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ht="22.5" customHeight="1" spans="1:26">
      <c r="A657" s="4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ht="22.5" customHeight="1" spans="1:26">
      <c r="A658" s="4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ht="22.5" customHeight="1" spans="1:26">
      <c r="A659" s="4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ht="22.5" customHeight="1" spans="1:26">
      <c r="A660" s="4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ht="22.5" customHeight="1" spans="1:26">
      <c r="A661" s="4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ht="22.5" customHeight="1" spans="1:26">
      <c r="A662" s="4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ht="22.5" customHeight="1" spans="1:26">
      <c r="A663" s="4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ht="22.5" customHeight="1" spans="1:26">
      <c r="A664" s="4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ht="22.5" customHeight="1" spans="1:26">
      <c r="A665" s="4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ht="22.5" customHeight="1" spans="1:26">
      <c r="A666" s="4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ht="22.5" customHeight="1" spans="1:26">
      <c r="A667" s="4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ht="22.5" customHeight="1" spans="1:26">
      <c r="A668" s="4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ht="22.5" customHeight="1" spans="1:26">
      <c r="A669" s="4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ht="22.5" customHeight="1" spans="1:26">
      <c r="A670" s="4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ht="22.5" customHeight="1" spans="1:26">
      <c r="A671" s="4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ht="22.5" customHeight="1" spans="1:26">
      <c r="A672" s="4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ht="22.5" customHeight="1" spans="1:26">
      <c r="A673" s="4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ht="22.5" customHeight="1" spans="1:26">
      <c r="A674" s="4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ht="22.5" customHeight="1" spans="1:26">
      <c r="A675" s="4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ht="22.5" customHeight="1" spans="1:26">
      <c r="A676" s="4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ht="22.5" customHeight="1" spans="1:26">
      <c r="A677" s="4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ht="22.5" customHeight="1" spans="1:26">
      <c r="A678" s="4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ht="22.5" customHeight="1" spans="1:26">
      <c r="A679" s="4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ht="22.5" customHeight="1" spans="1:26">
      <c r="A680" s="4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ht="22.5" customHeight="1" spans="1:26">
      <c r="A681" s="4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ht="22.5" customHeight="1" spans="1:26">
      <c r="A682" s="4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ht="22.5" customHeight="1" spans="1:26">
      <c r="A683" s="4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ht="22.5" customHeight="1" spans="1:26">
      <c r="A684" s="4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ht="22.5" customHeight="1" spans="1:26">
      <c r="A685" s="4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ht="22.5" customHeight="1" spans="1:26">
      <c r="A686" s="4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ht="22.5" customHeight="1" spans="1:26">
      <c r="A687" s="4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ht="22.5" customHeight="1" spans="1:26">
      <c r="A688" s="4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ht="22.5" customHeight="1" spans="1:26">
      <c r="A689" s="4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ht="22.5" customHeight="1" spans="1:26">
      <c r="A690" s="4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ht="22.5" customHeight="1" spans="1:26">
      <c r="A691" s="4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ht="22.5" customHeight="1" spans="1:26">
      <c r="A692" s="4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ht="22.5" customHeight="1" spans="1:26">
      <c r="A693" s="4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ht="22.5" customHeight="1" spans="1:26">
      <c r="A694" s="4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ht="22.5" customHeight="1" spans="1:26">
      <c r="A695" s="4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ht="22.5" customHeight="1" spans="1:26">
      <c r="A696" s="4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ht="22.5" customHeight="1" spans="1:26">
      <c r="A697" s="4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ht="22.5" customHeight="1" spans="1:26">
      <c r="A698" s="4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ht="22.5" customHeight="1" spans="1:26">
      <c r="A699" s="4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ht="22.5" customHeight="1" spans="1:26">
      <c r="A700" s="4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ht="22.5" customHeight="1" spans="1:26">
      <c r="A701" s="4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ht="22.5" customHeight="1" spans="1:26">
      <c r="A702" s="4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ht="22.5" customHeight="1" spans="1:26">
      <c r="A703" s="4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ht="22.5" customHeight="1" spans="1:26">
      <c r="A704" s="4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ht="22.5" customHeight="1" spans="1:26">
      <c r="A705" s="4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ht="22.5" customHeight="1" spans="1:26">
      <c r="A706" s="4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ht="22.5" customHeight="1" spans="1:26">
      <c r="A707" s="4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ht="22.5" customHeight="1" spans="1:26">
      <c r="A708" s="4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ht="22.5" customHeight="1" spans="1:26">
      <c r="A709" s="4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ht="22.5" customHeight="1" spans="1:26">
      <c r="A710" s="4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ht="22.5" customHeight="1" spans="1:26">
      <c r="A711" s="4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ht="22.5" customHeight="1" spans="1:26">
      <c r="A712" s="4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ht="22.5" customHeight="1" spans="1:26">
      <c r="A713" s="4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ht="22.5" customHeight="1" spans="1:26">
      <c r="A714" s="4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ht="22.5" customHeight="1" spans="1:26">
      <c r="A715" s="4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ht="22.5" customHeight="1" spans="1:26">
      <c r="A716" s="4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ht="22.5" customHeight="1" spans="1:26">
      <c r="A717" s="4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ht="22.5" customHeight="1" spans="1:26">
      <c r="A718" s="4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ht="22.5" customHeight="1" spans="1:26">
      <c r="A719" s="4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ht="22.5" customHeight="1" spans="1:26">
      <c r="A720" s="4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ht="22.5" customHeight="1" spans="1:26">
      <c r="A721" s="4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ht="22.5" customHeight="1" spans="1:26">
      <c r="A722" s="4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ht="22.5" customHeight="1" spans="1:26">
      <c r="A723" s="4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ht="22.5" customHeight="1" spans="1:26">
      <c r="A724" s="4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ht="22.5" customHeight="1" spans="1:26">
      <c r="A725" s="4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ht="22.5" customHeight="1" spans="1:26">
      <c r="A726" s="4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ht="22.5" customHeight="1" spans="1:26">
      <c r="A727" s="4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ht="22.5" customHeight="1" spans="1:26">
      <c r="A728" s="4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ht="22.5" customHeight="1" spans="1:26">
      <c r="A729" s="4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ht="22.5" customHeight="1" spans="1:26">
      <c r="A730" s="4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ht="22.5" customHeight="1" spans="1:26">
      <c r="A731" s="4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ht="22.5" customHeight="1" spans="1:26">
      <c r="A732" s="4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ht="22.5" customHeight="1" spans="1:26">
      <c r="A733" s="4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ht="22.5" customHeight="1" spans="1:26">
      <c r="A734" s="4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ht="22.5" customHeight="1" spans="1:26">
      <c r="A735" s="4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ht="22.5" customHeight="1" spans="1:26">
      <c r="A736" s="4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ht="22.5" customHeight="1" spans="1:26">
      <c r="A737" s="4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ht="22.5" customHeight="1" spans="1:26">
      <c r="A738" s="4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ht="22.5" customHeight="1" spans="1:26">
      <c r="A739" s="4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ht="22.5" customHeight="1" spans="1:26">
      <c r="A740" s="4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ht="22.5" customHeight="1" spans="1:26">
      <c r="A741" s="4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ht="22.5" customHeight="1" spans="1:26">
      <c r="A742" s="4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ht="22.5" customHeight="1" spans="1:26">
      <c r="A743" s="4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ht="22.5" customHeight="1" spans="1:26">
      <c r="A744" s="4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ht="22.5" customHeight="1" spans="1:26">
      <c r="A745" s="4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ht="22.5" customHeight="1" spans="1:26">
      <c r="A746" s="4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ht="22.5" customHeight="1" spans="1:26">
      <c r="A747" s="4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ht="22.5" customHeight="1" spans="1:26">
      <c r="A748" s="4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ht="22.5" customHeight="1" spans="1:26">
      <c r="A749" s="4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ht="22.5" customHeight="1" spans="1:26">
      <c r="A750" s="4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ht="22.5" customHeight="1" spans="1:26">
      <c r="A751" s="4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ht="22.5" customHeight="1" spans="1:26">
      <c r="A752" s="4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ht="22.5" customHeight="1" spans="1:26">
      <c r="A753" s="4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ht="22.5" customHeight="1" spans="1:26">
      <c r="A754" s="4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ht="22.5" customHeight="1" spans="1:26">
      <c r="A755" s="4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ht="22.5" customHeight="1" spans="1:26">
      <c r="A756" s="4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ht="22.5" customHeight="1" spans="1:26">
      <c r="A757" s="4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ht="22.5" customHeight="1" spans="1:26">
      <c r="A758" s="4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ht="22.5" customHeight="1" spans="1:26">
      <c r="A759" s="4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ht="22.5" customHeight="1" spans="1:26">
      <c r="A760" s="4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ht="22.5" customHeight="1" spans="1:26">
      <c r="A761" s="4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ht="22.5" customHeight="1" spans="1:26">
      <c r="A762" s="4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ht="22.5" customHeight="1" spans="1:26">
      <c r="A763" s="4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ht="22.5" customHeight="1" spans="1:26">
      <c r="A764" s="4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ht="22.5" customHeight="1" spans="1:26">
      <c r="A765" s="4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ht="22.5" customHeight="1" spans="1:26">
      <c r="A766" s="4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ht="22.5" customHeight="1" spans="1:26">
      <c r="A767" s="4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ht="22.5" customHeight="1" spans="1:26">
      <c r="A768" s="4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ht="22.5" customHeight="1" spans="1:26">
      <c r="A769" s="4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ht="22.5" customHeight="1" spans="1:26">
      <c r="A770" s="4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ht="22.5" customHeight="1" spans="1:26">
      <c r="A771" s="4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ht="22.5" customHeight="1" spans="1:26">
      <c r="A772" s="4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ht="22.5" customHeight="1" spans="1:26">
      <c r="A773" s="4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ht="22.5" customHeight="1" spans="1:26">
      <c r="A774" s="4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ht="22.5" customHeight="1" spans="1:26">
      <c r="A775" s="4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ht="22.5" customHeight="1" spans="1:26">
      <c r="A776" s="4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ht="22.5" customHeight="1" spans="1:26">
      <c r="A777" s="4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ht="22.5" customHeight="1" spans="1:26">
      <c r="A778" s="4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ht="22.5" customHeight="1" spans="1:26">
      <c r="A779" s="4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ht="22.5" customHeight="1" spans="1:26">
      <c r="A780" s="4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ht="22.5" customHeight="1" spans="1:26">
      <c r="A781" s="4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ht="22.5" customHeight="1" spans="1:26">
      <c r="A782" s="4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ht="22.5" customHeight="1" spans="1:26">
      <c r="A783" s="4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ht="22.5" customHeight="1" spans="1:26">
      <c r="A784" s="4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ht="22.5" customHeight="1" spans="1:26">
      <c r="A785" s="4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ht="22.5" customHeight="1" spans="1:26">
      <c r="A786" s="4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ht="22.5" customHeight="1" spans="1:26">
      <c r="A787" s="4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ht="22.5" customHeight="1" spans="1:26">
      <c r="A788" s="4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ht="22.5" customHeight="1" spans="1:26">
      <c r="A789" s="4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ht="22.5" customHeight="1" spans="1:26">
      <c r="A790" s="4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ht="22.5" customHeight="1" spans="1:26">
      <c r="A791" s="4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ht="22.5" customHeight="1" spans="1:26">
      <c r="A792" s="4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ht="22.5" customHeight="1" spans="1:26">
      <c r="A793" s="4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ht="22.5" customHeight="1" spans="1:26">
      <c r="A794" s="4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ht="22.5" customHeight="1" spans="1:26">
      <c r="A795" s="4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ht="22.5" customHeight="1" spans="1:26">
      <c r="A796" s="4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ht="22.5" customHeight="1" spans="1:26">
      <c r="A797" s="4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ht="22.5" customHeight="1" spans="1:26">
      <c r="A798" s="4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ht="22.5" customHeight="1" spans="1:26">
      <c r="A799" s="4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ht="22.5" customHeight="1" spans="1:26">
      <c r="A800" s="4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ht="22.5" customHeight="1" spans="1:26">
      <c r="A801" s="4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ht="22.5" customHeight="1" spans="1:26">
      <c r="A802" s="4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ht="22.5" customHeight="1" spans="1:26">
      <c r="A803" s="4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ht="22.5" customHeight="1" spans="1:26">
      <c r="A804" s="4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ht="22.5" customHeight="1" spans="1:26">
      <c r="A805" s="4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ht="22.5" customHeight="1" spans="1:26">
      <c r="A806" s="4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ht="22.5" customHeight="1" spans="1:26">
      <c r="A807" s="4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ht="22.5" customHeight="1" spans="1:26">
      <c r="A808" s="4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ht="22.5" customHeight="1" spans="1:26">
      <c r="A809" s="4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ht="22.5" customHeight="1" spans="1:26">
      <c r="A810" s="4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ht="22.5" customHeight="1" spans="1:26">
      <c r="A811" s="4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ht="22.5" customHeight="1" spans="1:26">
      <c r="A812" s="4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ht="22.5" customHeight="1" spans="1:26">
      <c r="A813" s="4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ht="22.5" customHeight="1" spans="1:26">
      <c r="A814" s="4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ht="22.5" customHeight="1" spans="1:26">
      <c r="A815" s="4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ht="22.5" customHeight="1" spans="1:26">
      <c r="A816" s="4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ht="22.5" customHeight="1" spans="1:26">
      <c r="A817" s="4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ht="22.5" customHeight="1" spans="1:26">
      <c r="A818" s="4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ht="22.5" customHeight="1" spans="1:26">
      <c r="A819" s="4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ht="22.5" customHeight="1" spans="1:26">
      <c r="A820" s="4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ht="22.5" customHeight="1" spans="1:26">
      <c r="A821" s="4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ht="22.5" customHeight="1" spans="1:26">
      <c r="A822" s="4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ht="22.5" customHeight="1" spans="1:26">
      <c r="A823" s="4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ht="22.5" customHeight="1" spans="1:26">
      <c r="A824" s="4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ht="22.5" customHeight="1" spans="1:26">
      <c r="A825" s="4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ht="22.5" customHeight="1" spans="1:26">
      <c r="A826" s="4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ht="22.5" customHeight="1" spans="1:26">
      <c r="A827" s="4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ht="22.5" customHeight="1" spans="1:26">
      <c r="A828" s="4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ht="22.5" customHeight="1" spans="1:26">
      <c r="A829" s="4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ht="22.5" customHeight="1" spans="1:26">
      <c r="A830" s="4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ht="22.5" customHeight="1" spans="1:26">
      <c r="A831" s="4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ht="22.5" customHeight="1" spans="1:26">
      <c r="A832" s="4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ht="22.5" customHeight="1" spans="1:26">
      <c r="A833" s="4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ht="22.5" customHeight="1" spans="1:26">
      <c r="A834" s="4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ht="22.5" customHeight="1" spans="1:26">
      <c r="A835" s="4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ht="22.5" customHeight="1" spans="1:26">
      <c r="A836" s="4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ht="22.5" customHeight="1" spans="1:26">
      <c r="A837" s="4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ht="22.5" customHeight="1" spans="1:26">
      <c r="A838" s="4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ht="22.5" customHeight="1" spans="1:26">
      <c r="A839" s="4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ht="22.5" customHeight="1" spans="1:26">
      <c r="A840" s="4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ht="22.5" customHeight="1" spans="1:26">
      <c r="A841" s="4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ht="22.5" customHeight="1" spans="1:26">
      <c r="A842" s="4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ht="22.5" customHeight="1" spans="1:26">
      <c r="A843" s="4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ht="22.5" customHeight="1" spans="1:26">
      <c r="A844" s="4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ht="22.5" customHeight="1" spans="1:26">
      <c r="A845" s="4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ht="22.5" customHeight="1" spans="1:26">
      <c r="A846" s="4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ht="22.5" customHeight="1" spans="1:26">
      <c r="A847" s="4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ht="22.5" customHeight="1" spans="1:26">
      <c r="A848" s="4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ht="22.5" customHeight="1" spans="1:26">
      <c r="A849" s="4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ht="22.5" customHeight="1" spans="1:26">
      <c r="A850" s="4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ht="22.5" customHeight="1" spans="1:26">
      <c r="A851" s="4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ht="22.5" customHeight="1" spans="1:26">
      <c r="A852" s="4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ht="22.5" customHeight="1" spans="1:26">
      <c r="A853" s="4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ht="22.5" customHeight="1" spans="1:26">
      <c r="A854" s="4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ht="22.5" customHeight="1" spans="1:26">
      <c r="A855" s="4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ht="22.5" customHeight="1" spans="1:26">
      <c r="A856" s="4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ht="22.5" customHeight="1" spans="1:26">
      <c r="A857" s="4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ht="22.5" customHeight="1" spans="1:26">
      <c r="A858" s="4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ht="22.5" customHeight="1" spans="1:26">
      <c r="A859" s="4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ht="22.5" customHeight="1" spans="1:26">
      <c r="A860" s="4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ht="22.5" customHeight="1" spans="1:26">
      <c r="A861" s="4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ht="22.5" customHeight="1" spans="1:26">
      <c r="A862" s="4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ht="22.5" customHeight="1" spans="1:26">
      <c r="A863" s="4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ht="22.5" customHeight="1" spans="1:26">
      <c r="A864" s="4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ht="22.5" customHeight="1" spans="1:26">
      <c r="A865" s="4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ht="22.5" customHeight="1" spans="1:26">
      <c r="A866" s="4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ht="22.5" customHeight="1" spans="1:26">
      <c r="A867" s="4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ht="22.5" customHeight="1" spans="1:26">
      <c r="A868" s="4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ht="22.5" customHeight="1" spans="1:26">
      <c r="A869" s="4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ht="22.5" customHeight="1" spans="1:26">
      <c r="A870" s="4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ht="22.5" customHeight="1" spans="1:26">
      <c r="A871" s="4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ht="22.5" customHeight="1" spans="1:26">
      <c r="A872" s="4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ht="22.5" customHeight="1" spans="1:26">
      <c r="A873" s="4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ht="22.5" customHeight="1" spans="1:26">
      <c r="A874" s="4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ht="22.5" customHeight="1" spans="1:26">
      <c r="A875" s="4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ht="22.5" customHeight="1" spans="1:26">
      <c r="A876" s="4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ht="22.5" customHeight="1" spans="1:26">
      <c r="A877" s="4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ht="22.5" customHeight="1" spans="1:26">
      <c r="A878" s="4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ht="22.5" customHeight="1" spans="1:26">
      <c r="A879" s="4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ht="22.5" customHeight="1" spans="1:26">
      <c r="A880" s="4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ht="22.5" customHeight="1" spans="1:26">
      <c r="A881" s="4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ht="22.5" customHeight="1" spans="1:26">
      <c r="A882" s="4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ht="22.5" customHeight="1" spans="1:26">
      <c r="A883" s="4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ht="22.5" customHeight="1" spans="1:26">
      <c r="A884" s="4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ht="22.5" customHeight="1" spans="1:26">
      <c r="A885" s="4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ht="22.5" customHeight="1" spans="1:26">
      <c r="A886" s="4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ht="22.5" customHeight="1" spans="1:26">
      <c r="A887" s="4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ht="22.5" customHeight="1" spans="1:26">
      <c r="A888" s="4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ht="22.5" customHeight="1" spans="1:26">
      <c r="A889" s="4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ht="22.5" customHeight="1" spans="1:26">
      <c r="A890" s="4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ht="22.5" customHeight="1" spans="1:26">
      <c r="A891" s="4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ht="22.5" customHeight="1" spans="1:26">
      <c r="A892" s="4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ht="22.5" customHeight="1" spans="1:26">
      <c r="A893" s="4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ht="22.5" customHeight="1" spans="1:26">
      <c r="A894" s="4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ht="22.5" customHeight="1" spans="1:26">
      <c r="A895" s="4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ht="22.5" customHeight="1" spans="1:26">
      <c r="A896" s="4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ht="22.5" customHeight="1" spans="1:26">
      <c r="A897" s="4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ht="22.5" customHeight="1" spans="1:26">
      <c r="A898" s="4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ht="22.5" customHeight="1" spans="1:26">
      <c r="A899" s="4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ht="22.5" customHeight="1" spans="1:26">
      <c r="A900" s="4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ht="22.5" customHeight="1" spans="1:26">
      <c r="A901" s="4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ht="22.5" customHeight="1" spans="1:26">
      <c r="A902" s="4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ht="22.5" customHeight="1" spans="1:26">
      <c r="A903" s="4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ht="22.5" customHeight="1" spans="1:26">
      <c r="A904" s="4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ht="22.5" customHeight="1" spans="1:26">
      <c r="A905" s="4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ht="22.5" customHeight="1" spans="1:26">
      <c r="A906" s="4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ht="22.5" customHeight="1" spans="1:26">
      <c r="A907" s="4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ht="22.5" customHeight="1" spans="1:26">
      <c r="A908" s="4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ht="22.5" customHeight="1" spans="1:26">
      <c r="A909" s="4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ht="22.5" customHeight="1" spans="1:26">
      <c r="A910" s="4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ht="22.5" customHeight="1" spans="1:26">
      <c r="A911" s="4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ht="22.5" customHeight="1" spans="1:26">
      <c r="A912" s="4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ht="22.5" customHeight="1" spans="1:26">
      <c r="A913" s="4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ht="22.5" customHeight="1" spans="1:26">
      <c r="A914" s="4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ht="22.5" customHeight="1" spans="1:26">
      <c r="A915" s="4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ht="22.5" customHeight="1" spans="1:26">
      <c r="A916" s="4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ht="22.5" customHeight="1" spans="1:26">
      <c r="A917" s="4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ht="22.5" customHeight="1" spans="1:26">
      <c r="A918" s="4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ht="22.5" customHeight="1" spans="1:26">
      <c r="A919" s="4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ht="22.5" customHeight="1" spans="1:26">
      <c r="A920" s="4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ht="22.5" customHeight="1" spans="1:26">
      <c r="A921" s="4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ht="22.5" customHeight="1" spans="1:26">
      <c r="A922" s="4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ht="22.5" customHeight="1" spans="1:26">
      <c r="A923" s="4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ht="22.5" customHeight="1" spans="1:26">
      <c r="A924" s="4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ht="22.5" customHeight="1" spans="1:26">
      <c r="A925" s="4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ht="22.5" customHeight="1" spans="1:26">
      <c r="A926" s="4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ht="22.5" customHeight="1" spans="1:26">
      <c r="A927" s="4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ht="22.5" customHeight="1" spans="1:26">
      <c r="A928" s="4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ht="22.5" customHeight="1" spans="1:26">
      <c r="A929" s="4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ht="22.5" customHeight="1" spans="1:26">
      <c r="A930" s="4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ht="22.5" customHeight="1" spans="1:26">
      <c r="A931" s="4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ht="22.5" customHeight="1" spans="1:26">
      <c r="A932" s="4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ht="22.5" customHeight="1" spans="1:26">
      <c r="A933" s="4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ht="22.5" customHeight="1" spans="1:26">
      <c r="A934" s="4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ht="22.5" customHeight="1" spans="1:26">
      <c r="A935" s="4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ht="22.5" customHeight="1" spans="1:26">
      <c r="A936" s="4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ht="22.5" customHeight="1" spans="1:26">
      <c r="A937" s="4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ht="22.5" customHeight="1" spans="1:26">
      <c r="A938" s="4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ht="22.5" customHeight="1" spans="1:26">
      <c r="A939" s="4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ht="22.5" customHeight="1" spans="1:26">
      <c r="A940" s="4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ht="22.5" customHeight="1" spans="1:26">
      <c r="A941" s="4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ht="22.5" customHeight="1" spans="1:26">
      <c r="A942" s="4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ht="22.5" customHeight="1" spans="1:26">
      <c r="A943" s="4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ht="22.5" customHeight="1" spans="1:26">
      <c r="A944" s="4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ht="22.5" customHeight="1" spans="1:26">
      <c r="A945" s="4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ht="22.5" customHeight="1" spans="1:26">
      <c r="A946" s="4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ht="22.5" customHeight="1" spans="1:26">
      <c r="A947" s="4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ht="22.5" customHeight="1" spans="1:26">
      <c r="A948" s="4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ht="22.5" customHeight="1" spans="1:26">
      <c r="A949" s="4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ht="22.5" customHeight="1" spans="1:26">
      <c r="A950" s="4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ht="22.5" customHeight="1" spans="1:26">
      <c r="A951" s="4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ht="22.5" customHeight="1" spans="1:26">
      <c r="A952" s="4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ht="22.5" customHeight="1" spans="1:26">
      <c r="A953" s="4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ht="22.5" customHeight="1" spans="1:26">
      <c r="A954" s="4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ht="22.5" customHeight="1" spans="1:26">
      <c r="A955" s="4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ht="22.5" customHeight="1" spans="1:26">
      <c r="A956" s="4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ht="22.5" customHeight="1" spans="1:26">
      <c r="A957" s="4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ht="22.5" customHeight="1" spans="1:26">
      <c r="A958" s="4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ht="22.5" customHeight="1" spans="1:26">
      <c r="A959" s="4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ht="22.5" customHeight="1" spans="1:26">
      <c r="A960" s="4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ht="22.5" customHeight="1" spans="1:26">
      <c r="A961" s="4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ht="22.5" customHeight="1" spans="1:26">
      <c r="A962" s="4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ht="22.5" customHeight="1" spans="1:26">
      <c r="A963" s="4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ht="22.5" customHeight="1" spans="1:26">
      <c r="A964" s="4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ht="22.5" customHeight="1" spans="1:26">
      <c r="A965" s="4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ht="22.5" customHeight="1" spans="1:26">
      <c r="A966" s="4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ht="22.5" customHeight="1" spans="1:26">
      <c r="A967" s="4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ht="22.5" customHeight="1" spans="1:26">
      <c r="A968" s="4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ht="22.5" customHeight="1" spans="1:26">
      <c r="A969" s="4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ht="22.5" customHeight="1" spans="1:26">
      <c r="A970" s="4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ht="22.5" customHeight="1" spans="1:26">
      <c r="A971" s="4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ht="22.5" customHeight="1" spans="1:26">
      <c r="A972" s="4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ht="22.5" customHeight="1" spans="1:26">
      <c r="A973" s="4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ht="22.5" customHeight="1" spans="1:26">
      <c r="A974" s="4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ht="22.5" customHeight="1" spans="1:26">
      <c r="A975" s="4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ht="22.5" customHeight="1" spans="1:26">
      <c r="A976" s="4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ht="22.5" customHeight="1" spans="1:26">
      <c r="A977" s="4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ht="22.5" customHeight="1" spans="1:26">
      <c r="A978" s="4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ht="22.5" customHeight="1" spans="1:26">
      <c r="A979" s="4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ht="22.5" customHeight="1" spans="1:26">
      <c r="A980" s="4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ht="22.5" customHeight="1" spans="1:26">
      <c r="A981" s="4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ht="22.5" customHeight="1" spans="1:26">
      <c r="A982" s="4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ht="22.5" customHeight="1" spans="1:26">
      <c r="A983" s="4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ht="22.5" customHeight="1" spans="1:26">
      <c r="A984" s="4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ht="22.5" customHeight="1" spans="1:26">
      <c r="A985" s="4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ht="22.5" customHeight="1" spans="1:26">
      <c r="A986" s="4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ht="22.5" customHeight="1" spans="1:26">
      <c r="A987" s="4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ht="22.5" customHeight="1" spans="1:26">
      <c r="A988" s="4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ht="22.5" customHeight="1" spans="1:26">
      <c r="A989" s="4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  <row r="990" ht="22.5" customHeight="1" spans="1:26">
      <c r="A990" s="4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</row>
    <row r="991" ht="22.5" customHeight="1" spans="1:26">
      <c r="A991" s="4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</row>
    <row r="992" ht="22.5" customHeight="1" spans="1:26">
      <c r="A992" s="4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</row>
    <row r="993" ht="22.5" customHeight="1" spans="1:26">
      <c r="A993" s="4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</row>
    <row r="994" ht="22.5" customHeight="1" spans="1:26">
      <c r="A994" s="4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</row>
    <row r="995" ht="22.5" customHeight="1" spans="1:26">
      <c r="A995" s="4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</row>
    <row r="996" ht="22.5" customHeight="1" spans="1:26">
      <c r="A996" s="4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</row>
    <row r="997" ht="22.5" customHeight="1" spans="1:26">
      <c r="A997" s="4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</row>
    <row r="998" ht="22.5" customHeight="1" spans="1:26">
      <c r="A998" s="4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</row>
    <row r="999" ht="22.5" customHeight="1" spans="1:26">
      <c r="A999" s="4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</row>
    <row r="1000" ht="22.5" customHeight="1" spans="1:26">
      <c r="A1000" s="4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</row>
  </sheetData>
  <pageMargins left="0.75" right="0.75" top="1" bottom="1" header="0.5" footer="0.5"/>
  <headerFooter/>
  <tableParts count="1">
    <tablePart r:id="rId1"/>
  </tableParts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X997"/>
  <sheetViews>
    <sheetView workbookViewId="0">
      <selection activeCell="A1" sqref="A1"/>
    </sheetView>
  </sheetViews>
  <sheetFormatPr defaultColWidth="14.43" defaultRowHeight="15" customHeight="1"/>
  <cols>
    <col min="1" max="1" width="51.43" customWidth="1"/>
    <col min="2" max="2" width="54" customWidth="1"/>
    <col min="3" max="20" width="83" customWidth="1"/>
  </cols>
  <sheetData>
    <row r="1" ht="15.5" spans="1:24">
      <c r="A1" s="1" t="s">
        <v>41</v>
      </c>
      <c r="B1" s="1" t="s">
        <v>819</v>
      </c>
      <c r="C1" s="1" t="s">
        <v>17</v>
      </c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ht="15.5" spans="1:24">
      <c r="A2" s="2" t="s">
        <v>820</v>
      </c>
      <c r="B2" s="2" t="s">
        <v>821</v>
      </c>
      <c r="C2" s="2">
        <v>2026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</row>
    <row r="3" ht="15.5" spans="1:24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</row>
    <row r="4" ht="15.5" spans="1:2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</row>
    <row r="5" ht="15.5" spans="1:24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6" ht="15.5" spans="1:24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</row>
    <row r="7" ht="15.5" spans="1:24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</row>
    <row r="8" ht="15.5" spans="1:24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</row>
    <row r="9" ht="15.5" spans="1:24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</row>
    <row r="10" ht="15.5" spans="1:24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</row>
    <row r="11" ht="15.5" spans="1:24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</row>
    <row r="12" ht="15.5" spans="1:24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</row>
    <row r="13" ht="15.5" spans="1:24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</row>
    <row r="14" ht="15.5" spans="1:2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</row>
    <row r="15" ht="15.5" spans="1:24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</row>
    <row r="16" ht="15.5" spans="1:24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</row>
    <row r="17" ht="15.5" spans="1:24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</row>
    <row r="18" ht="15.75" customHeight="1" spans="1:24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</row>
    <row r="19" ht="15.75" customHeight="1" spans="1:24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</row>
    <row r="20" ht="15.75" customHeight="1" spans="1:24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</row>
    <row r="21" ht="15.75" customHeight="1" spans="1:24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</row>
    <row r="22" ht="15.75" customHeight="1" spans="1:24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</row>
    <row r="23" ht="15.75" customHeight="1" spans="1:24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</row>
    <row r="24" ht="15.75" customHeight="1" spans="1:24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</row>
    <row r="25" ht="15.75" customHeight="1" spans="1:24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</row>
    <row r="26" ht="15.75" customHeight="1" spans="1:24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</row>
    <row r="27" ht="15.75" customHeight="1" spans="1:24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</row>
    <row r="28" ht="15.75" customHeight="1" spans="1:24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</row>
    <row r="29" ht="15.75" customHeight="1" spans="1:24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</row>
    <row r="30" ht="15.75" customHeight="1" spans="1:24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</row>
    <row r="31" ht="15.75" customHeight="1" spans="1:24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</row>
    <row r="32" ht="15.75" customHeight="1" spans="1:24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</row>
    <row r="33" ht="15.75" customHeight="1" spans="1:24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</row>
    <row r="34" ht="15.75" customHeight="1" spans="1:24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</row>
    <row r="35" ht="15.75" customHeight="1" spans="1:24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</row>
    <row r="36" ht="15.75" customHeight="1" spans="1:24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</row>
    <row r="37" ht="15.75" customHeight="1" spans="1:24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</row>
    <row r="38" ht="15.75" customHeight="1" spans="1:24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</row>
    <row r="39" ht="15.75" customHeight="1" spans="1:24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</row>
    <row r="40" ht="15.75" customHeight="1" spans="1:24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</row>
    <row r="41" ht="15.75" customHeight="1" spans="1:24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</row>
    <row r="42" ht="15.75" customHeight="1" spans="1:24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</row>
    <row r="43" ht="15.75" customHeight="1" spans="1:24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</row>
    <row r="44" ht="15.75" customHeight="1" spans="1:24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</row>
    <row r="45" ht="15.75" customHeight="1" spans="1:24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</row>
    <row r="46" ht="15.75" customHeight="1" spans="1:24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</row>
    <row r="47" ht="15.75" customHeight="1" spans="1:24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</row>
    <row r="48" ht="15.75" customHeight="1" spans="1:24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</row>
    <row r="49" ht="15.75" customHeight="1" spans="1:24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</row>
    <row r="50" ht="15.75" customHeight="1" spans="1:24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</row>
    <row r="51" ht="15.75" customHeight="1" spans="1:24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</row>
    <row r="52" ht="15.75" customHeight="1" spans="1:24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</row>
    <row r="53" ht="15.75" customHeight="1" spans="1:24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</row>
    <row r="54" ht="15.75" customHeight="1" spans="1:24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</row>
    <row r="55" ht="15.75" customHeight="1" spans="1:24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</row>
    <row r="56" ht="15.75" customHeight="1" spans="1:24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</row>
    <row r="57" ht="15.75" customHeight="1" spans="1:24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</row>
    <row r="58" ht="15.75" customHeight="1" spans="1:24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</row>
    <row r="59" ht="15.75" customHeight="1" spans="1:24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</row>
    <row r="60" ht="15.75" customHeight="1" spans="1:24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</row>
    <row r="61" ht="15.75" customHeight="1" spans="1:24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</row>
    <row r="62" ht="15.75" customHeight="1" spans="1:24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</row>
    <row r="63" ht="15.75" customHeight="1" spans="1:24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</row>
    <row r="64" ht="15.75" customHeight="1" spans="1:24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</row>
    <row r="65" ht="15.75" customHeight="1" spans="1:24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</row>
    <row r="66" ht="15.75" customHeight="1" spans="1:24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</row>
    <row r="67" ht="15.75" customHeight="1" spans="1:24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</row>
    <row r="68" ht="15.75" customHeight="1" spans="1:24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</row>
    <row r="69" ht="15.75" customHeight="1" spans="1:24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</row>
    <row r="70" ht="15.75" customHeight="1" spans="1:24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</row>
    <row r="71" ht="15.75" customHeight="1" spans="1:24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</row>
    <row r="72" ht="15.75" customHeight="1" spans="1:24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</row>
    <row r="73" ht="15.75" customHeight="1" spans="1:24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</row>
    <row r="74" ht="15.75" customHeight="1" spans="1:24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</row>
    <row r="75" ht="15.75" customHeight="1" spans="1:24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</row>
    <row r="76" ht="15.75" customHeight="1" spans="1:24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</row>
    <row r="77" ht="15.75" customHeight="1" spans="1:24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</row>
    <row r="78" ht="15.75" customHeight="1" spans="1:24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</row>
    <row r="79" ht="15.75" customHeight="1" spans="1:24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</row>
    <row r="80" ht="15.75" customHeight="1" spans="1:24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</row>
    <row r="81" ht="15.75" customHeight="1" spans="1:24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</row>
    <row r="82" ht="15.75" customHeight="1" spans="1:24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</row>
    <row r="83" ht="15.75" customHeight="1" spans="1:24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</row>
    <row r="84" ht="15.75" customHeight="1" spans="1:24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</row>
    <row r="85" ht="15.75" customHeight="1" spans="1:24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</row>
    <row r="86" ht="15.75" customHeight="1" spans="1:24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</row>
    <row r="87" ht="15.75" customHeight="1" spans="1:24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</row>
    <row r="88" ht="15.75" customHeight="1" spans="1:24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</row>
    <row r="89" ht="15.75" customHeight="1" spans="1:24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</row>
    <row r="90" ht="15.75" customHeight="1" spans="1:24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</row>
    <row r="91" ht="15.75" customHeight="1" spans="1:24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</row>
    <row r="92" ht="15.75" customHeight="1" spans="1:24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</row>
    <row r="93" ht="15.75" customHeight="1" spans="1:24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</row>
    <row r="94" ht="15.75" customHeight="1" spans="1:24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</row>
    <row r="95" ht="15.75" customHeight="1" spans="1:24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</row>
    <row r="96" ht="15.75" customHeight="1" spans="1:24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</row>
    <row r="97" ht="15.75" customHeight="1" spans="1:24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</row>
    <row r="98" ht="15.75" customHeight="1" spans="1:24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</row>
    <row r="99" ht="15.75" customHeight="1" spans="1:24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</row>
    <row r="100" ht="15.75" customHeight="1" spans="1:24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</row>
    <row r="101" ht="15.75" customHeight="1" spans="1:24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</row>
    <row r="102" ht="15.75" customHeight="1" spans="1:24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</row>
    <row r="103" ht="15.75" customHeight="1" spans="1:24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</row>
    <row r="104" ht="15.75" customHeight="1" spans="1:24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</row>
    <row r="105" ht="15.75" customHeight="1" spans="1:24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</row>
    <row r="106" ht="15.75" customHeight="1" spans="1:24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</row>
    <row r="107" ht="15.75" customHeight="1" spans="1:24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</row>
    <row r="108" ht="15.75" customHeight="1" spans="1:24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</row>
    <row r="109" ht="15.75" customHeight="1" spans="1:24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</row>
    <row r="110" ht="15.75" customHeight="1" spans="1:24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</row>
    <row r="111" ht="15.75" customHeight="1" spans="1:24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</row>
    <row r="112" ht="15.75" customHeight="1" spans="1:24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</row>
    <row r="113" ht="15.75" customHeight="1" spans="1:24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</row>
    <row r="114" ht="15.75" customHeight="1" spans="1:24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</row>
    <row r="115" ht="15.75" customHeight="1" spans="1:24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</row>
    <row r="116" ht="15.75" customHeight="1" spans="1:24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</row>
    <row r="117" ht="15.75" customHeight="1" spans="1:24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</row>
    <row r="118" ht="15.75" customHeight="1" spans="1:24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</row>
    <row r="119" ht="15.75" customHeight="1" spans="1:24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</row>
    <row r="120" ht="15.75" customHeight="1" spans="1:24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</row>
    <row r="121" ht="15.75" customHeight="1" spans="1:24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</row>
    <row r="122" ht="15.75" customHeight="1" spans="1:24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</row>
    <row r="123" ht="15.75" customHeight="1" spans="1:24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</row>
    <row r="124" ht="15.75" customHeight="1" spans="1:24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</row>
    <row r="125" ht="15.75" customHeight="1" spans="1:24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</row>
    <row r="126" ht="15.75" customHeight="1" spans="1:24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</row>
    <row r="127" ht="15.75" customHeight="1" spans="1:24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</row>
    <row r="128" ht="15.75" customHeight="1" spans="1:24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</row>
    <row r="129" ht="15.75" customHeight="1" spans="1:24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</row>
    <row r="130" ht="15.75" customHeight="1" spans="1:24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</row>
    <row r="131" ht="15.75" customHeight="1" spans="1:24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</row>
    <row r="132" ht="15.75" customHeight="1" spans="1:24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</row>
    <row r="133" ht="15.75" customHeight="1" spans="1:24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</row>
    <row r="134" ht="15.75" customHeight="1" spans="1:24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</row>
    <row r="135" ht="15.75" customHeight="1" spans="1:24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</row>
    <row r="136" ht="15.75" customHeight="1" spans="1:24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</row>
    <row r="137" ht="15.75" customHeight="1" spans="1:24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</row>
    <row r="138" ht="15.75" customHeight="1" spans="1:24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</row>
    <row r="139" ht="15.75" customHeight="1" spans="1:24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</row>
    <row r="140" ht="15.75" customHeight="1" spans="1:24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</row>
    <row r="141" ht="15.75" customHeight="1" spans="1:24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</row>
    <row r="142" ht="15.75" customHeight="1" spans="1:24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</row>
    <row r="143" ht="15.75" customHeight="1" spans="1:24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</row>
    <row r="144" ht="15.75" customHeight="1" spans="1:24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</row>
    <row r="145" ht="15.75" customHeight="1" spans="1:24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</row>
    <row r="146" ht="15.75" customHeight="1" spans="1:24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</row>
    <row r="147" ht="15.75" customHeight="1" spans="1:24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</row>
    <row r="148" ht="15.75" customHeight="1" spans="1:24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</row>
    <row r="149" ht="15.75" customHeight="1" spans="1:24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</row>
    <row r="150" ht="15.75" customHeight="1" spans="1:24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</row>
    <row r="151" ht="15.75" customHeight="1" spans="1:24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</row>
    <row r="152" ht="15.75" customHeight="1" spans="1:24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</row>
    <row r="153" ht="15.75" customHeight="1" spans="1:24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</row>
    <row r="154" ht="15.75" customHeight="1" spans="1:24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</row>
    <row r="155" ht="15.75" customHeight="1" spans="1:24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</row>
    <row r="156" ht="15.75" customHeight="1" spans="1:24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</row>
    <row r="157" ht="15.75" customHeight="1" spans="1:24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</row>
    <row r="158" ht="15.75" customHeight="1" spans="1:24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</row>
    <row r="159" ht="15.75" customHeight="1" spans="1:24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</row>
    <row r="160" ht="15.75" customHeight="1" spans="1:24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</row>
    <row r="161" ht="15.75" customHeight="1" spans="1:24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</row>
    <row r="162" ht="15.75" customHeight="1" spans="1:24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</row>
    <row r="163" ht="15.75" customHeight="1" spans="1:24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</row>
    <row r="164" ht="15.75" customHeight="1" spans="1:24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</row>
    <row r="165" ht="15.75" customHeight="1" spans="1:24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</row>
    <row r="166" ht="15.75" customHeight="1" spans="1:24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</row>
    <row r="167" ht="15.75" customHeight="1" spans="1:24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</row>
    <row r="168" ht="15.75" customHeight="1" spans="1:24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</row>
    <row r="169" ht="15.75" customHeight="1" spans="1:24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</row>
    <row r="170" ht="15.75" customHeight="1" spans="1:24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</row>
    <row r="171" ht="15.75" customHeight="1" spans="1:24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</row>
    <row r="172" ht="15.75" customHeight="1" spans="1:24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</row>
    <row r="173" ht="15.75" customHeight="1" spans="1:24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</row>
    <row r="174" ht="15.75" customHeight="1" spans="1:24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</row>
    <row r="175" ht="15.75" customHeight="1" spans="1:24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</row>
    <row r="176" ht="15.75" customHeight="1" spans="1:24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</row>
    <row r="177" ht="15.75" customHeight="1" spans="1:24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</row>
    <row r="178" ht="15.75" customHeight="1" spans="1:24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</row>
    <row r="179" ht="15.75" customHeight="1" spans="1:24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</row>
    <row r="180" ht="15.75" customHeight="1" spans="1:24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</row>
    <row r="181" ht="15.75" customHeight="1" spans="1:24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</row>
    <row r="182" ht="15.75" customHeight="1" spans="1:24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</row>
    <row r="183" ht="15.75" customHeight="1" spans="1:24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</row>
    <row r="184" ht="15.75" customHeight="1" spans="1:24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</row>
    <row r="185" ht="15.75" customHeight="1" spans="1:24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</row>
    <row r="186" ht="15.75" customHeight="1" spans="1:24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</row>
    <row r="187" ht="15.75" customHeight="1" spans="1:24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</row>
    <row r="188" ht="15.75" customHeight="1" spans="1:24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</row>
    <row r="189" ht="15.75" customHeight="1" spans="1:24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</row>
    <row r="190" ht="15.75" customHeight="1" spans="1:24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</row>
    <row r="191" ht="15.75" customHeight="1" spans="1:24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</row>
    <row r="192" ht="15.75" customHeight="1" spans="1:24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</row>
    <row r="193" ht="15.75" customHeight="1" spans="1:24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</row>
    <row r="194" ht="15.75" customHeight="1" spans="1:24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</row>
    <row r="195" ht="15.75" customHeight="1" spans="1:24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</row>
    <row r="196" ht="15.75" customHeight="1" spans="1:24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</row>
    <row r="197" ht="15.75" customHeight="1" spans="1:24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</row>
    <row r="198" ht="15.75" customHeight="1" spans="1:24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</row>
    <row r="199" ht="15.75" customHeight="1" spans="1:24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</row>
    <row r="200" ht="15.75" customHeight="1" spans="1:24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</row>
    <row r="201" ht="15.75" customHeight="1" spans="1:24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</row>
    <row r="202" ht="15.75" customHeight="1" spans="1:24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</row>
    <row r="203" ht="15.75" customHeight="1" spans="1:24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</row>
    <row r="204" ht="15.75" customHeight="1" spans="1:24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</row>
    <row r="205" ht="15.75" customHeight="1" spans="1:24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</row>
    <row r="206" ht="15.75" customHeight="1" spans="1:24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</row>
    <row r="207" ht="15.75" customHeight="1" spans="1:24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</row>
    <row r="208" ht="15.75" customHeight="1" spans="1:24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</row>
    <row r="209" ht="15.75" customHeight="1" spans="1:24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</row>
    <row r="210" ht="15.75" customHeight="1" spans="1:24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</row>
    <row r="211" ht="15.75" customHeight="1" spans="1:24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</row>
    <row r="212" ht="15.75" customHeight="1" spans="1:24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</row>
    <row r="213" ht="15.75" customHeight="1" spans="1:24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</row>
    <row r="214" ht="15.75" customHeight="1" spans="1:24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</row>
    <row r="215" ht="15.75" customHeight="1" spans="1:24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</row>
    <row r="216" ht="15.75" customHeight="1" spans="1:24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</row>
    <row r="217" ht="15.75" customHeight="1" spans="1:24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</row>
    <row r="218" ht="15.75" customHeight="1" spans="1:24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</row>
    <row r="219" ht="15.75" customHeight="1" spans="1:24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</row>
    <row r="220" ht="15.75" customHeight="1" spans="1:24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</row>
    <row r="221" ht="15.75" customHeight="1" spans="1:24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</row>
    <row r="222" ht="15.75" customHeight="1" spans="1:24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</row>
    <row r="223" ht="15.75" customHeight="1" spans="1:24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</row>
    <row r="224" ht="15.75" customHeight="1" spans="1:24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</row>
    <row r="225" ht="15.75" customHeight="1" spans="1:24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</row>
    <row r="226" ht="15.75" customHeight="1" spans="1:24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</row>
    <row r="227" ht="15.75" customHeight="1" spans="1:24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</row>
    <row r="228" ht="15.75" customHeight="1" spans="1:24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</row>
    <row r="229" ht="15.75" customHeight="1" spans="1:24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</row>
    <row r="230" ht="15.75" customHeight="1" spans="1:24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</row>
    <row r="231" ht="15.75" customHeight="1" spans="1:24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</row>
    <row r="232" ht="15.75" customHeight="1" spans="1:24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</row>
    <row r="233" ht="15.75" customHeight="1" spans="1:24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</row>
    <row r="234" ht="15.75" customHeight="1" spans="1:24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</row>
    <row r="235" ht="15.75" customHeight="1" spans="1:24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</row>
    <row r="236" ht="15.75" customHeight="1" spans="1:24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</row>
    <row r="237" ht="15.75" customHeight="1" spans="1:24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</row>
    <row r="238" ht="15.75" customHeight="1" spans="1:24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</row>
    <row r="239" ht="15.75" customHeight="1" spans="1:24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</row>
    <row r="240" ht="15.75" customHeight="1" spans="1:24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</row>
    <row r="241" ht="15.75" customHeight="1" spans="1:24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</row>
    <row r="242" ht="15.75" customHeight="1" spans="1:24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</row>
    <row r="243" ht="15.75" customHeight="1" spans="1:24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</row>
    <row r="244" ht="15.75" customHeight="1" spans="1:24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</row>
    <row r="245" ht="15.75" customHeight="1" spans="1:24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</row>
    <row r="246" ht="15.75" customHeight="1" spans="1:24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</row>
    <row r="247" ht="15.75" customHeight="1" spans="1:24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</row>
    <row r="248" ht="15.75" customHeight="1" spans="1:24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</row>
    <row r="249" ht="15.75" customHeight="1" spans="1:24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</row>
    <row r="250" ht="15.75" customHeight="1" spans="1:24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</row>
    <row r="251" ht="15.75" customHeight="1" spans="1:24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</row>
    <row r="252" ht="15.75" customHeight="1" spans="1:24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</row>
    <row r="253" ht="15.75" customHeight="1" spans="1:24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</row>
    <row r="254" ht="15.75" customHeight="1" spans="1:24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</row>
    <row r="255" ht="15.75" customHeight="1" spans="1:24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</row>
    <row r="256" ht="15.75" customHeight="1" spans="1:24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</row>
    <row r="257" ht="15.75" customHeight="1" spans="1:24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</row>
    <row r="258" ht="15.75" customHeight="1" spans="1:24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</row>
    <row r="259" ht="15.75" customHeight="1" spans="1:24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</row>
    <row r="260" ht="15.75" customHeight="1" spans="1:24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</row>
    <row r="261" ht="15.75" customHeight="1" spans="1:24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</row>
    <row r="262" ht="15.75" customHeight="1" spans="1:24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</row>
    <row r="263" ht="15.75" customHeight="1" spans="1:24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</row>
    <row r="264" ht="15.75" customHeight="1" spans="1:24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</row>
    <row r="265" ht="15.75" customHeight="1" spans="1:24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</row>
    <row r="266" ht="15.75" customHeight="1" spans="1:24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</row>
    <row r="267" ht="15.75" customHeight="1" spans="1:24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</row>
    <row r="268" ht="15.75" customHeight="1" spans="1:24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</row>
    <row r="269" ht="15.75" customHeight="1" spans="1:24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</row>
    <row r="270" ht="15.75" customHeight="1" spans="1:24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</row>
    <row r="271" ht="15.75" customHeight="1" spans="1:24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</row>
    <row r="272" ht="15.75" customHeight="1" spans="1:24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</row>
    <row r="273" ht="15.75" customHeight="1" spans="1:24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</row>
    <row r="274" ht="15.75" customHeight="1" spans="1:24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</row>
    <row r="275" ht="15.75" customHeight="1" spans="1:24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</row>
    <row r="276" ht="15.75" customHeight="1" spans="1:24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</row>
    <row r="277" ht="15.75" customHeight="1" spans="1:24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</row>
    <row r="278" ht="15.75" customHeight="1" spans="1:24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</row>
    <row r="279" ht="15.75" customHeight="1" spans="1:24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</row>
    <row r="280" ht="15.75" customHeight="1" spans="1:24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</row>
    <row r="281" ht="15.75" customHeight="1" spans="1:24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</row>
    <row r="282" ht="15.75" customHeight="1" spans="1:24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</row>
    <row r="283" ht="15.75" customHeight="1" spans="1:24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</row>
    <row r="284" ht="15.75" customHeight="1" spans="1:24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</row>
    <row r="285" ht="15.75" customHeight="1" spans="1:24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</row>
    <row r="286" ht="15.75" customHeight="1" spans="1:24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</row>
    <row r="287" ht="15.75" customHeight="1" spans="1:24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</row>
    <row r="288" ht="15.75" customHeight="1" spans="1:24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</row>
    <row r="289" ht="15.75" customHeight="1" spans="1:24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</row>
    <row r="290" ht="15.75" customHeight="1" spans="1:24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</row>
    <row r="291" ht="15.75" customHeight="1" spans="1:24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</row>
    <row r="292" ht="15.75" customHeight="1" spans="1:24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</row>
    <row r="293" ht="15.75" customHeight="1" spans="1:24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</row>
    <row r="294" ht="15.75" customHeight="1" spans="1:24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</row>
    <row r="295" ht="15.75" customHeight="1" spans="1:24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</row>
    <row r="296" ht="15.75" customHeight="1" spans="1:24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</row>
    <row r="297" ht="15.75" customHeight="1" spans="1:24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</row>
    <row r="298" ht="15.75" customHeight="1" spans="1:24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</row>
    <row r="299" ht="15.75" customHeight="1" spans="1:24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</row>
    <row r="300" ht="15.75" customHeight="1" spans="1:24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</row>
    <row r="301" ht="15.75" customHeight="1" spans="1:24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</row>
    <row r="302" ht="15.75" customHeight="1" spans="1:24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</row>
    <row r="303" ht="15.75" customHeight="1" spans="1:24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</row>
    <row r="304" ht="15.75" customHeight="1" spans="1:24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</row>
    <row r="305" ht="15.75" customHeight="1" spans="1:24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</row>
    <row r="306" ht="15.75" customHeight="1" spans="1:24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</row>
    <row r="307" ht="15.75" customHeight="1" spans="1:24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</row>
    <row r="308" ht="15.75" customHeight="1" spans="1:24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</row>
    <row r="309" ht="15.75" customHeight="1" spans="1:24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</row>
    <row r="310" ht="15.75" customHeight="1" spans="1:24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</row>
    <row r="311" ht="15.75" customHeight="1" spans="1:24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</row>
    <row r="312" ht="15.75" customHeight="1" spans="1:24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</row>
    <row r="313" ht="15.75" customHeight="1" spans="1:24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</row>
    <row r="314" ht="15.75" customHeight="1" spans="1:24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</row>
    <row r="315" ht="15.75" customHeight="1" spans="1:24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</row>
    <row r="316" ht="15.75" customHeight="1" spans="1:24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</row>
    <row r="317" ht="15.75" customHeight="1" spans="1:24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</row>
    <row r="318" ht="15.75" customHeight="1" spans="1:24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</row>
    <row r="319" ht="15.75" customHeight="1" spans="1:24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</row>
    <row r="320" ht="15.75" customHeight="1" spans="1:24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</row>
    <row r="321" ht="15.75" customHeight="1" spans="1:24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</row>
    <row r="322" ht="15.75" customHeight="1" spans="1:24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</row>
    <row r="323" ht="15.75" customHeight="1" spans="1:24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</row>
    <row r="324" ht="15.75" customHeight="1" spans="1:24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</row>
    <row r="325" ht="15.75" customHeight="1" spans="1:24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</row>
    <row r="326" ht="15.75" customHeight="1" spans="1:24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</row>
    <row r="327" ht="15.75" customHeight="1" spans="1:24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</row>
    <row r="328" ht="15.75" customHeight="1" spans="1:24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</row>
    <row r="329" ht="15.75" customHeight="1" spans="1:24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</row>
    <row r="330" ht="15.75" customHeight="1" spans="1:24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</row>
    <row r="331" ht="15.75" customHeight="1" spans="1:24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</row>
    <row r="332" ht="15.75" customHeight="1" spans="1:24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</row>
    <row r="333" ht="15.75" customHeight="1" spans="1:24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</row>
    <row r="334" ht="15.75" customHeight="1" spans="1:24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</row>
    <row r="335" ht="15.75" customHeight="1" spans="1:24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</row>
    <row r="336" ht="15.75" customHeight="1" spans="1:24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</row>
    <row r="337" ht="15.75" customHeight="1" spans="1:24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</row>
    <row r="338" ht="15.75" customHeight="1" spans="1:24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</row>
    <row r="339" ht="15.75" customHeight="1" spans="1:24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</row>
    <row r="340" ht="15.75" customHeight="1" spans="1:24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</row>
    <row r="341" ht="15.75" customHeight="1" spans="1:24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</row>
    <row r="342" ht="15.75" customHeight="1" spans="1:24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</row>
    <row r="343" ht="15.75" customHeight="1" spans="1:24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</row>
    <row r="344" ht="15.75" customHeight="1" spans="1:24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</row>
    <row r="345" ht="15.75" customHeight="1" spans="1:24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</row>
    <row r="346" ht="15.75" customHeight="1" spans="1:24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</row>
    <row r="347" ht="15.75" customHeight="1" spans="1:24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</row>
    <row r="348" ht="15.75" customHeight="1" spans="1:24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</row>
    <row r="349" ht="15.75" customHeight="1" spans="1:24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</row>
    <row r="350" ht="15.75" customHeight="1" spans="1:24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</row>
    <row r="351" ht="15.75" customHeight="1" spans="1:24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</row>
    <row r="352" ht="15.75" customHeight="1" spans="1:24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</row>
    <row r="353" ht="15.75" customHeight="1" spans="1:24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</row>
    <row r="354" ht="15.75" customHeight="1" spans="1:24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</row>
    <row r="355" ht="15.75" customHeight="1" spans="1:24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</row>
    <row r="356" ht="15.75" customHeight="1" spans="1:24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</row>
    <row r="357" ht="15.75" customHeight="1" spans="1:24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</row>
    <row r="358" ht="15.75" customHeight="1" spans="1:24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</row>
    <row r="359" ht="15.75" customHeight="1" spans="1:24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</row>
    <row r="360" ht="15.75" customHeight="1" spans="1:24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</row>
    <row r="361" ht="15.75" customHeight="1" spans="1:24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</row>
    <row r="362" ht="15.75" customHeight="1" spans="1:24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</row>
    <row r="363" ht="15.75" customHeight="1" spans="1:24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</row>
    <row r="364" ht="15.75" customHeight="1" spans="1:24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</row>
    <row r="365" ht="15.75" customHeight="1" spans="1:24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</row>
    <row r="366" ht="15.75" customHeight="1" spans="1:24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</row>
    <row r="367" ht="15.75" customHeight="1" spans="1:24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</row>
    <row r="368" ht="15.75" customHeight="1" spans="1:24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</row>
    <row r="369" ht="15.75" customHeight="1" spans="1:24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</row>
    <row r="370" ht="15.75" customHeight="1" spans="1:24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</row>
    <row r="371" ht="15.75" customHeight="1" spans="1:24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</row>
    <row r="372" ht="15.75" customHeight="1" spans="1:24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</row>
    <row r="373" ht="15.75" customHeight="1" spans="1:24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</row>
    <row r="374" ht="15.75" customHeight="1" spans="1:24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</row>
    <row r="375" ht="15.75" customHeight="1" spans="1:24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</row>
    <row r="376" ht="15.75" customHeight="1" spans="1:24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</row>
    <row r="377" ht="15.75" customHeight="1" spans="1:24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</row>
    <row r="378" ht="15.75" customHeight="1" spans="1:24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</row>
    <row r="379" ht="15.75" customHeight="1" spans="1:24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</row>
    <row r="380" ht="15.75" customHeight="1" spans="1:24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</row>
    <row r="381" ht="15.75" customHeight="1" spans="1:24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</row>
    <row r="382" ht="15.75" customHeight="1" spans="1:24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</row>
    <row r="383" ht="15.75" customHeight="1" spans="1:24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</row>
    <row r="384" ht="15.75" customHeight="1" spans="1:24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</row>
    <row r="385" ht="15.75" customHeight="1" spans="1:24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</row>
    <row r="386" ht="15.75" customHeight="1" spans="1:24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</row>
    <row r="387" ht="15.75" customHeight="1" spans="1:24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</row>
    <row r="388" ht="15.75" customHeight="1" spans="1:24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</row>
    <row r="389" ht="15.75" customHeight="1" spans="1:24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</row>
    <row r="390" ht="15.75" customHeight="1" spans="1:24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</row>
    <row r="391" ht="15.75" customHeight="1" spans="1:24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</row>
    <row r="392" ht="15.75" customHeight="1" spans="1:24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</row>
    <row r="393" ht="15.75" customHeight="1" spans="1:24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</row>
    <row r="394" ht="15.75" customHeight="1" spans="1:24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</row>
    <row r="395" ht="15.75" customHeight="1" spans="1:24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</row>
    <row r="396" ht="15.75" customHeight="1" spans="1:24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</row>
    <row r="397" ht="15.75" customHeight="1" spans="1:24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</row>
    <row r="398" ht="15.75" customHeight="1" spans="1:24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</row>
    <row r="399" ht="15.75" customHeight="1" spans="1:24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</row>
    <row r="400" ht="15.75" customHeight="1" spans="1:24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</row>
    <row r="401" ht="15.75" customHeight="1" spans="1:24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</row>
    <row r="402" ht="15.75" customHeight="1" spans="1:24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</row>
    <row r="403" ht="15.75" customHeight="1" spans="1:24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</row>
    <row r="404" ht="15.75" customHeight="1" spans="1:24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</row>
    <row r="405" ht="15.75" customHeight="1" spans="1:24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</row>
    <row r="406" ht="15.75" customHeight="1" spans="1:24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</row>
    <row r="407" ht="15.75" customHeight="1" spans="1:24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</row>
    <row r="408" ht="15.75" customHeight="1" spans="1:24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</row>
    <row r="409" ht="15.75" customHeight="1" spans="1:24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</row>
    <row r="410" ht="15.75" customHeight="1" spans="1:24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</row>
    <row r="411" ht="15.75" customHeight="1" spans="1:24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</row>
    <row r="412" ht="15.75" customHeight="1" spans="1:24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</row>
    <row r="413" ht="15.75" customHeight="1" spans="1:24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</row>
    <row r="414" ht="15.75" customHeight="1" spans="1:24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</row>
    <row r="415" ht="15.75" customHeight="1" spans="1:24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</row>
    <row r="416" ht="15.75" customHeight="1" spans="1:24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</row>
    <row r="417" ht="15.75" customHeight="1" spans="1:24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</row>
    <row r="418" ht="15.75" customHeight="1" spans="1:24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</row>
    <row r="419" ht="15.75" customHeight="1" spans="1:24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</row>
    <row r="420" ht="15.75" customHeight="1" spans="1:24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</row>
    <row r="421" ht="15.75" customHeight="1" spans="1:24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</row>
    <row r="422" ht="15.75" customHeight="1" spans="1:24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</row>
    <row r="423" ht="15.75" customHeight="1" spans="1:24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</row>
    <row r="424" ht="15.75" customHeight="1" spans="1:24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</row>
    <row r="425" ht="15.75" customHeight="1" spans="1:24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</row>
    <row r="426" ht="15.75" customHeight="1" spans="1:24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</row>
    <row r="427" ht="15.75" customHeight="1" spans="1:24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</row>
    <row r="428" ht="15.75" customHeight="1" spans="1:24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</row>
    <row r="429" ht="15.75" customHeight="1" spans="1:24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</row>
    <row r="430" ht="15.75" customHeight="1" spans="1:24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</row>
    <row r="431" ht="15.75" customHeight="1" spans="1:24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</row>
    <row r="432" ht="15.75" customHeight="1" spans="1:24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</row>
    <row r="433" ht="15.75" customHeight="1" spans="1:24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</row>
    <row r="434" ht="15.75" customHeight="1" spans="1:24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</row>
    <row r="435" ht="15.75" customHeight="1" spans="1:24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</row>
    <row r="436" ht="15.75" customHeight="1" spans="1:24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</row>
    <row r="437" ht="15.75" customHeight="1" spans="1:24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</row>
    <row r="438" ht="15.75" customHeight="1" spans="1:24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</row>
    <row r="439" ht="15.75" customHeight="1" spans="1:24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</row>
    <row r="440" ht="15.75" customHeight="1" spans="1:24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</row>
    <row r="441" ht="15.75" customHeight="1" spans="1:24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</row>
    <row r="442" ht="15.75" customHeight="1" spans="1:24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</row>
    <row r="443" ht="15.75" customHeight="1" spans="1:24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</row>
    <row r="444" ht="15.75" customHeight="1" spans="1:24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</row>
    <row r="445" ht="15.75" customHeight="1" spans="1:24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</row>
    <row r="446" ht="15.75" customHeight="1" spans="1:24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</row>
    <row r="447" ht="15.75" customHeight="1" spans="1:24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</row>
    <row r="448" ht="15.75" customHeight="1" spans="1:24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</row>
    <row r="449" ht="15.75" customHeight="1" spans="1:24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</row>
    <row r="450" ht="15.75" customHeight="1" spans="1:24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</row>
    <row r="451" ht="15.75" customHeight="1" spans="1:24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</row>
    <row r="452" ht="15.75" customHeight="1" spans="1:24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</row>
    <row r="453" ht="15.75" customHeight="1" spans="1:24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</row>
    <row r="454" ht="15.75" customHeight="1" spans="1:24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</row>
    <row r="455" ht="15.75" customHeight="1" spans="1:24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</row>
    <row r="456" ht="15.75" customHeight="1" spans="1:24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</row>
    <row r="457" ht="15.75" customHeight="1" spans="1:24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</row>
    <row r="458" ht="15.75" customHeight="1" spans="1:24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</row>
    <row r="459" ht="15.75" customHeight="1" spans="1:24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</row>
    <row r="460" ht="15.75" customHeight="1" spans="1:24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</row>
    <row r="461" ht="15.75" customHeight="1" spans="1:24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</row>
    <row r="462" ht="15.75" customHeight="1" spans="1:24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</row>
    <row r="463" ht="15.75" customHeight="1" spans="1:24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</row>
    <row r="464" ht="15.75" customHeight="1" spans="1:24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</row>
    <row r="465" ht="15.75" customHeight="1" spans="1:24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</row>
    <row r="466" ht="15.75" customHeight="1" spans="1:24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</row>
    <row r="467" ht="15.75" customHeight="1" spans="1:24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</row>
    <row r="468" ht="15.75" customHeight="1" spans="1:24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</row>
    <row r="469" ht="15.75" customHeight="1" spans="1:24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</row>
    <row r="470" ht="15.75" customHeight="1" spans="1:24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</row>
    <row r="471" ht="15.75" customHeight="1" spans="1:24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</row>
    <row r="472" ht="15.75" customHeight="1" spans="1:24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</row>
    <row r="473" ht="15.75" customHeight="1" spans="1:24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</row>
    <row r="474" ht="15.75" customHeight="1" spans="1:24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</row>
    <row r="475" ht="15.75" customHeight="1" spans="1:24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</row>
    <row r="476" ht="15.75" customHeight="1" spans="1:24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</row>
    <row r="477" ht="15.75" customHeight="1" spans="1:24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</row>
    <row r="478" ht="15.75" customHeight="1" spans="1:24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</row>
    <row r="479" ht="15.75" customHeight="1" spans="1:24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</row>
    <row r="480" ht="15.75" customHeight="1" spans="1:24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</row>
    <row r="481" ht="15.75" customHeight="1" spans="1:24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</row>
    <row r="482" ht="15.75" customHeight="1" spans="1:24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</row>
    <row r="483" ht="15.75" customHeight="1" spans="1:24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</row>
    <row r="484" ht="15.75" customHeight="1" spans="1:24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</row>
    <row r="485" ht="15.75" customHeight="1" spans="1:24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</row>
    <row r="486" ht="15.75" customHeight="1" spans="1:24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</row>
    <row r="487" ht="15.75" customHeight="1" spans="1:24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</row>
    <row r="488" ht="15.75" customHeight="1" spans="1:24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</row>
    <row r="489" ht="15.75" customHeight="1" spans="1:24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</row>
    <row r="490" ht="15.75" customHeight="1" spans="1:24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</row>
    <row r="491" ht="15.75" customHeight="1" spans="1:24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</row>
    <row r="492" ht="15.75" customHeight="1" spans="1:24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</row>
    <row r="493" ht="15.75" customHeight="1" spans="1:24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</row>
    <row r="494" ht="15.75" customHeight="1" spans="1:24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</row>
    <row r="495" ht="15.75" customHeight="1" spans="1:24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</row>
    <row r="496" ht="15.75" customHeight="1" spans="1:24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</row>
    <row r="497" ht="15.75" customHeight="1" spans="1:24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</row>
    <row r="498" ht="15.75" customHeight="1" spans="1:24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</row>
    <row r="499" ht="15.75" customHeight="1" spans="1:24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</row>
    <row r="500" ht="15.75" customHeight="1" spans="1:24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</row>
    <row r="501" ht="15.75" customHeight="1" spans="1:24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</row>
    <row r="502" ht="15.75" customHeight="1" spans="1:24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</row>
    <row r="503" ht="15.75" customHeight="1" spans="1:24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</row>
    <row r="504" ht="15.75" customHeight="1" spans="1:24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</row>
    <row r="505" ht="15.75" customHeight="1" spans="1:24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</row>
    <row r="506" ht="15.75" customHeight="1" spans="1:24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</row>
    <row r="507" ht="15.75" customHeight="1" spans="1:24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</row>
    <row r="508" ht="15.75" customHeight="1" spans="1:24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</row>
    <row r="509" ht="15.75" customHeight="1" spans="1:24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</row>
    <row r="510" ht="15.75" customHeight="1" spans="1:24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</row>
    <row r="511" ht="15.75" customHeight="1" spans="1:24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</row>
    <row r="512" ht="15.75" customHeight="1" spans="1:24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</row>
    <row r="513" ht="15.75" customHeight="1" spans="1:24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</row>
    <row r="514" ht="15.75" customHeight="1" spans="1:24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</row>
    <row r="515" ht="15.75" customHeight="1" spans="1:24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</row>
    <row r="516" ht="15.75" customHeight="1" spans="1:24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</row>
    <row r="517" ht="15.75" customHeight="1" spans="1:24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</row>
    <row r="518" ht="15.75" customHeight="1" spans="1:24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</row>
    <row r="519" ht="15.75" customHeight="1" spans="1:24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</row>
    <row r="520" ht="15.75" customHeight="1" spans="1:24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</row>
    <row r="521" ht="15.75" customHeight="1" spans="1:24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</row>
    <row r="522" ht="15.75" customHeight="1" spans="1:24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</row>
    <row r="523" ht="15.75" customHeight="1" spans="1:24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</row>
    <row r="524" ht="15.75" customHeight="1" spans="1:24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</row>
    <row r="525" ht="15.75" customHeight="1" spans="1:24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</row>
    <row r="526" ht="15.75" customHeight="1" spans="1:24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</row>
    <row r="527" ht="15.75" customHeight="1" spans="1:24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</row>
    <row r="528" ht="15.75" customHeight="1" spans="1:24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</row>
    <row r="529" ht="15.75" customHeight="1" spans="1:24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</row>
    <row r="530" ht="15.75" customHeight="1" spans="1:24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</row>
    <row r="531" ht="15.75" customHeight="1" spans="1:24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</row>
    <row r="532" ht="15.75" customHeight="1" spans="1:24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</row>
    <row r="533" ht="15.75" customHeight="1" spans="1:24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</row>
    <row r="534" ht="15.75" customHeight="1" spans="1:24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</row>
    <row r="535" ht="15.75" customHeight="1" spans="1:24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</row>
    <row r="536" ht="15.75" customHeight="1" spans="1:24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</row>
    <row r="537" ht="15.75" customHeight="1" spans="1:24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</row>
    <row r="538" ht="15.75" customHeight="1" spans="1:24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</row>
    <row r="539" ht="15.75" customHeight="1" spans="1:24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</row>
    <row r="540" ht="15.75" customHeight="1" spans="1:24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</row>
    <row r="541" ht="15.75" customHeight="1" spans="1:24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</row>
    <row r="542" ht="15.75" customHeight="1" spans="1:24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</row>
    <row r="543" ht="15.75" customHeight="1" spans="1:24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</row>
    <row r="544" ht="15.75" customHeight="1" spans="1:24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</row>
    <row r="545" ht="15.75" customHeight="1" spans="1:24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</row>
    <row r="546" ht="15.75" customHeight="1" spans="1:24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</row>
    <row r="547" ht="15.75" customHeight="1" spans="1:24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</row>
    <row r="548" ht="15.75" customHeight="1" spans="1:24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</row>
    <row r="549" ht="15.75" customHeight="1" spans="1:24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</row>
    <row r="550" ht="15.75" customHeight="1" spans="1:24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</row>
    <row r="551" ht="15.75" customHeight="1" spans="1:24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</row>
    <row r="552" ht="15.75" customHeight="1" spans="1:24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</row>
    <row r="553" ht="15.75" customHeight="1" spans="1:24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</row>
    <row r="554" ht="15.75" customHeight="1" spans="1:24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</row>
    <row r="555" ht="15.75" customHeight="1" spans="1:24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</row>
    <row r="556" ht="15.75" customHeight="1" spans="1:24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</row>
    <row r="557" ht="15.75" customHeight="1" spans="1:24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</row>
    <row r="558" ht="15.75" customHeight="1" spans="1:24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</row>
    <row r="559" ht="15.75" customHeight="1" spans="1:24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</row>
    <row r="560" ht="15.75" customHeight="1" spans="1:24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</row>
    <row r="561" ht="15.75" customHeight="1" spans="1:24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</row>
    <row r="562" ht="15.75" customHeight="1" spans="1:24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</row>
    <row r="563" ht="15.75" customHeight="1" spans="1:24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</row>
    <row r="564" ht="15.75" customHeight="1" spans="1:24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</row>
    <row r="565" ht="15.75" customHeight="1" spans="1:24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</row>
    <row r="566" ht="15.75" customHeight="1" spans="1:24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</row>
    <row r="567" ht="15.75" customHeight="1" spans="1:24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</row>
    <row r="568" ht="15.75" customHeight="1" spans="1:24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</row>
    <row r="569" ht="15.75" customHeight="1" spans="1:24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</row>
    <row r="570" ht="15.75" customHeight="1" spans="1:24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</row>
    <row r="571" ht="15.75" customHeight="1" spans="1:24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</row>
    <row r="572" ht="15.75" customHeight="1" spans="1:24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</row>
    <row r="573" ht="15.75" customHeight="1" spans="1:24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</row>
    <row r="574" ht="15.75" customHeight="1" spans="1:24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</row>
    <row r="575" ht="15.75" customHeight="1" spans="1:24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</row>
    <row r="576" ht="15.75" customHeight="1" spans="1:24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</row>
    <row r="577" ht="15.75" customHeight="1" spans="1:24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</row>
    <row r="578" ht="15.75" customHeight="1" spans="1:24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</row>
    <row r="579" ht="15.75" customHeight="1" spans="1:24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</row>
    <row r="580" ht="15.75" customHeight="1" spans="1:24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</row>
    <row r="581" ht="15.75" customHeight="1" spans="1:24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</row>
    <row r="582" ht="15.75" customHeight="1" spans="1:24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</row>
    <row r="583" ht="15.75" customHeight="1" spans="1:24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</row>
    <row r="584" ht="15.75" customHeight="1" spans="1:24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</row>
    <row r="585" ht="15.75" customHeight="1" spans="1:24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</row>
    <row r="586" ht="15.75" customHeight="1" spans="1:24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</row>
    <row r="587" ht="15.75" customHeight="1" spans="1:24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</row>
    <row r="588" ht="15.75" customHeight="1" spans="1:24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</row>
    <row r="589" ht="15.75" customHeight="1" spans="1:24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</row>
    <row r="590" ht="15.75" customHeight="1" spans="1:24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</row>
    <row r="591" ht="15.75" customHeight="1" spans="1:24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</row>
    <row r="592" ht="15.75" customHeight="1" spans="1:24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</row>
    <row r="593" ht="15.75" customHeight="1" spans="1:24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</row>
    <row r="594" ht="15.75" customHeight="1" spans="1:24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</row>
    <row r="595" ht="15.75" customHeight="1" spans="1:24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</row>
    <row r="596" ht="15.75" customHeight="1" spans="1:24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</row>
    <row r="597" ht="15.75" customHeight="1" spans="1:24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</row>
    <row r="598" ht="15.75" customHeight="1" spans="1:24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</row>
    <row r="599" ht="15.75" customHeight="1" spans="1:24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</row>
    <row r="600" ht="15.75" customHeight="1" spans="1:24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</row>
    <row r="601" ht="15.75" customHeight="1" spans="1:24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</row>
    <row r="602" ht="15.75" customHeight="1" spans="1:24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</row>
    <row r="603" ht="15.75" customHeight="1" spans="1:24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</row>
    <row r="604" ht="15.75" customHeight="1" spans="1:24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</row>
    <row r="605" ht="15.75" customHeight="1" spans="1:24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</row>
    <row r="606" ht="15.75" customHeight="1" spans="1:24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</row>
    <row r="607" ht="15.75" customHeight="1" spans="1:24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</row>
    <row r="608" ht="15.75" customHeight="1" spans="1:24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</row>
    <row r="609" ht="15.75" customHeight="1" spans="1:24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</row>
    <row r="610" ht="15.75" customHeight="1" spans="1:24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</row>
    <row r="611" ht="15.75" customHeight="1" spans="1:24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</row>
    <row r="612" ht="15.75" customHeight="1" spans="1:24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</row>
    <row r="613" ht="15.75" customHeight="1" spans="1:24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</row>
    <row r="614" ht="15.75" customHeight="1" spans="1:24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</row>
    <row r="615" ht="15.75" customHeight="1" spans="1:24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</row>
    <row r="616" ht="15.75" customHeight="1" spans="1:24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</row>
    <row r="617" ht="15.75" customHeight="1" spans="1:24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</row>
    <row r="618" ht="15.75" customHeight="1" spans="1:24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</row>
    <row r="619" ht="15.75" customHeight="1" spans="1:24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</row>
    <row r="620" ht="15.75" customHeight="1" spans="1:24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</row>
    <row r="621" ht="15.75" customHeight="1" spans="1:24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</row>
    <row r="622" ht="15.75" customHeight="1" spans="1:24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</row>
    <row r="623" ht="15.75" customHeight="1" spans="1:24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</row>
    <row r="624" ht="15.75" customHeight="1" spans="1:24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</row>
    <row r="625" ht="15.75" customHeight="1" spans="1:24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</row>
    <row r="626" ht="15.75" customHeight="1" spans="1:24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</row>
    <row r="627" ht="15.75" customHeight="1" spans="1:24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</row>
    <row r="628" ht="15.75" customHeight="1" spans="1:24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</row>
    <row r="629" ht="15.75" customHeight="1" spans="1:24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</row>
    <row r="630" ht="15.75" customHeight="1" spans="1:24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</row>
    <row r="631" ht="15.75" customHeight="1" spans="1:24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</row>
    <row r="632" ht="15.75" customHeight="1" spans="1:24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</row>
    <row r="633" ht="15.75" customHeight="1" spans="1:24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</row>
    <row r="634" ht="15.75" customHeight="1" spans="1:24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</row>
    <row r="635" ht="15.75" customHeight="1" spans="1:24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</row>
    <row r="636" ht="15.75" customHeight="1" spans="1:24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</row>
    <row r="637" ht="15.75" customHeight="1" spans="1:24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</row>
    <row r="638" ht="15.75" customHeight="1" spans="1:24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</row>
    <row r="639" ht="15.75" customHeight="1" spans="1:24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</row>
    <row r="640" ht="15.75" customHeight="1" spans="1:24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</row>
    <row r="641" ht="15.75" customHeight="1" spans="1:24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</row>
    <row r="642" ht="15.75" customHeight="1" spans="1:24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</row>
    <row r="643" ht="15.75" customHeight="1" spans="1:24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</row>
    <row r="644" ht="15.75" customHeight="1" spans="1:24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</row>
    <row r="645" ht="15.75" customHeight="1" spans="1:24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</row>
    <row r="646" ht="15.75" customHeight="1" spans="1:24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</row>
    <row r="647" ht="15.75" customHeight="1" spans="1:24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</row>
    <row r="648" ht="15.75" customHeight="1" spans="1:24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</row>
    <row r="649" ht="15.75" customHeight="1" spans="1:24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</row>
    <row r="650" ht="15.75" customHeight="1" spans="1:24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</row>
    <row r="651" ht="15.75" customHeight="1" spans="1:24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</row>
    <row r="652" ht="15.75" customHeight="1" spans="1:24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</row>
    <row r="653" ht="15.75" customHeight="1" spans="1:24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</row>
    <row r="654" ht="15.75" customHeight="1" spans="1:24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</row>
    <row r="655" ht="15.75" customHeight="1" spans="1:24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</row>
    <row r="656" ht="15.75" customHeight="1" spans="1:24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</row>
    <row r="657" ht="15.75" customHeight="1" spans="1:24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</row>
    <row r="658" ht="15.75" customHeight="1" spans="1:24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</row>
    <row r="659" ht="15.75" customHeight="1" spans="1:24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</row>
    <row r="660" ht="15.75" customHeight="1" spans="1:24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</row>
    <row r="661" ht="15.75" customHeight="1" spans="1:24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</row>
    <row r="662" ht="15.75" customHeight="1" spans="1:24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</row>
    <row r="663" ht="15.75" customHeight="1" spans="1:24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</row>
    <row r="664" ht="15.75" customHeight="1" spans="1:24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</row>
    <row r="665" ht="15.75" customHeight="1" spans="1:24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</row>
    <row r="666" ht="15.75" customHeight="1" spans="1:24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</row>
    <row r="667" ht="15.75" customHeight="1" spans="1:24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</row>
    <row r="668" ht="15.75" customHeight="1" spans="1:24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</row>
    <row r="669" ht="15.75" customHeight="1" spans="1:24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</row>
    <row r="670" ht="15.75" customHeight="1" spans="1:24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</row>
    <row r="671" ht="15.75" customHeight="1" spans="1:24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</row>
    <row r="672" ht="15.75" customHeight="1" spans="1:24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</row>
    <row r="673" ht="15.75" customHeight="1" spans="1:24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</row>
    <row r="674" ht="15.75" customHeight="1" spans="1:24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</row>
    <row r="675" ht="15.75" customHeight="1" spans="1:24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</row>
    <row r="676" ht="15.75" customHeight="1" spans="1:24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</row>
    <row r="677" ht="15.75" customHeight="1" spans="1:24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</row>
    <row r="678" ht="15.75" customHeight="1" spans="1:24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</row>
    <row r="679" ht="15.75" customHeight="1" spans="1:24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</row>
    <row r="680" ht="15.75" customHeight="1" spans="1:24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</row>
    <row r="681" ht="15.75" customHeight="1" spans="1:24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</row>
    <row r="682" ht="15.75" customHeight="1" spans="1:24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</row>
    <row r="683" ht="15.75" customHeight="1" spans="1:24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</row>
    <row r="684" ht="15.75" customHeight="1" spans="1:24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</row>
    <row r="685" ht="15.75" customHeight="1" spans="1:24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</row>
    <row r="686" ht="15.75" customHeight="1" spans="1:24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</row>
    <row r="687" ht="15.75" customHeight="1" spans="1:24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</row>
    <row r="688" ht="15.75" customHeight="1" spans="1:24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</row>
    <row r="689" ht="15.75" customHeight="1" spans="1:24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</row>
    <row r="690" ht="15.75" customHeight="1" spans="1:24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</row>
    <row r="691" ht="15.75" customHeight="1" spans="1:24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</row>
    <row r="692" ht="15.75" customHeight="1" spans="1:24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</row>
    <row r="693" ht="15.75" customHeight="1" spans="1:24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</row>
    <row r="694" ht="15.75" customHeight="1" spans="1:24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</row>
    <row r="695" ht="15.75" customHeight="1" spans="1:24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</row>
    <row r="696" ht="15.75" customHeight="1" spans="1:24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</row>
    <row r="697" ht="15.75" customHeight="1" spans="1:24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</row>
    <row r="698" ht="15.75" customHeight="1" spans="1:24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</row>
    <row r="699" ht="15.75" customHeight="1" spans="1:24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</row>
    <row r="700" ht="15.75" customHeight="1" spans="1:24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</row>
    <row r="701" ht="15.75" customHeight="1" spans="1:24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</row>
    <row r="702" ht="15.75" customHeight="1" spans="1:24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</row>
    <row r="703" ht="15.75" customHeight="1" spans="1:24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</row>
    <row r="704" ht="15.75" customHeight="1" spans="1:24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</row>
    <row r="705" ht="15.75" customHeight="1" spans="1:24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</row>
    <row r="706" ht="15.75" customHeight="1" spans="1:24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</row>
    <row r="707" ht="15.75" customHeight="1" spans="1:24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</row>
    <row r="708" ht="15.75" customHeight="1" spans="1:24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</row>
    <row r="709" ht="15.75" customHeight="1" spans="1:24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</row>
    <row r="710" ht="15.75" customHeight="1" spans="1:24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</row>
    <row r="711" ht="15.75" customHeight="1" spans="1:24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</row>
    <row r="712" ht="15.75" customHeight="1" spans="1:24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</row>
    <row r="713" ht="15.75" customHeight="1" spans="1:24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</row>
    <row r="714" ht="15.75" customHeight="1" spans="1:24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</row>
    <row r="715" ht="15.75" customHeight="1" spans="1:24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</row>
    <row r="716" ht="15.75" customHeight="1" spans="1:24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</row>
    <row r="717" ht="15.75" customHeight="1" spans="1:24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</row>
    <row r="718" ht="15.75" customHeight="1" spans="1:24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</row>
    <row r="719" ht="15.75" customHeight="1" spans="1:24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</row>
    <row r="720" ht="15.75" customHeight="1" spans="1:24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</row>
    <row r="721" ht="15.75" customHeight="1" spans="1:24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</row>
    <row r="722" ht="15.75" customHeight="1" spans="1:24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</row>
    <row r="723" ht="15.75" customHeight="1" spans="1:24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</row>
    <row r="724" ht="15.75" customHeight="1" spans="1:24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</row>
    <row r="725" ht="15.75" customHeight="1" spans="1:24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</row>
    <row r="726" ht="15.75" customHeight="1" spans="1:24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</row>
    <row r="727" ht="15.75" customHeight="1" spans="1:24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</row>
    <row r="728" ht="15.75" customHeight="1" spans="1:24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</row>
    <row r="729" ht="15.75" customHeight="1" spans="1:24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</row>
    <row r="730" ht="15.75" customHeight="1" spans="1:24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</row>
    <row r="731" ht="15.75" customHeight="1" spans="1:24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</row>
    <row r="732" ht="15.75" customHeight="1" spans="1:24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</row>
    <row r="733" ht="15.75" customHeight="1" spans="1:24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</row>
    <row r="734" ht="15.75" customHeight="1" spans="1:24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</row>
    <row r="735" ht="15.75" customHeight="1" spans="1:24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</row>
    <row r="736" ht="15.75" customHeight="1" spans="1:24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</row>
    <row r="737" ht="15.75" customHeight="1" spans="1:24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</row>
    <row r="738" ht="15.75" customHeight="1" spans="1:24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</row>
    <row r="739" ht="15.75" customHeight="1" spans="1:24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</row>
    <row r="740" ht="15.75" customHeight="1" spans="1:24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</row>
    <row r="741" ht="15.75" customHeight="1" spans="1:24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</row>
    <row r="742" ht="15.75" customHeight="1" spans="1:24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</row>
    <row r="743" ht="15.75" customHeight="1" spans="1:24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</row>
    <row r="744" ht="15.75" customHeight="1" spans="1:24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</row>
    <row r="745" ht="15.75" customHeight="1" spans="1:24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</row>
    <row r="746" ht="15.75" customHeight="1" spans="1:24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</row>
    <row r="747" ht="15.75" customHeight="1" spans="1:24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</row>
    <row r="748" ht="15.75" customHeight="1" spans="1:24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</row>
    <row r="749" ht="15.75" customHeight="1" spans="1:24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</row>
    <row r="750" ht="15.75" customHeight="1" spans="1:24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</row>
    <row r="751" ht="15.75" customHeight="1" spans="1:24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</row>
    <row r="752" ht="15.75" customHeight="1" spans="1:24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</row>
    <row r="753" ht="15.75" customHeight="1" spans="1:24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</row>
    <row r="754" ht="15.75" customHeight="1" spans="1:24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</row>
    <row r="755" ht="15.75" customHeight="1" spans="1:24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</row>
    <row r="756" ht="15.75" customHeight="1" spans="1:24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</row>
    <row r="757" ht="15.75" customHeight="1" spans="1:24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</row>
    <row r="758" ht="15.75" customHeight="1" spans="1:24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</row>
    <row r="759" ht="15.75" customHeight="1" spans="1:24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</row>
    <row r="760" ht="15.75" customHeight="1" spans="1:24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</row>
    <row r="761" ht="15.75" customHeight="1" spans="1:24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</row>
    <row r="762" ht="15.75" customHeight="1" spans="1:24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</row>
    <row r="763" ht="15.75" customHeight="1" spans="1:24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</row>
    <row r="764" ht="15.75" customHeight="1" spans="1:24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</row>
    <row r="765" ht="15.75" customHeight="1" spans="1:24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</row>
    <row r="766" ht="15.75" customHeight="1" spans="1:24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</row>
    <row r="767" ht="15.75" customHeight="1" spans="1:24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</row>
    <row r="768" ht="15.75" customHeight="1" spans="1:24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</row>
    <row r="769" ht="15.75" customHeight="1" spans="1:24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</row>
    <row r="770" ht="15.75" customHeight="1" spans="1:24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</row>
    <row r="771" ht="15.75" customHeight="1" spans="1:24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</row>
    <row r="772" ht="15.75" customHeight="1" spans="1:24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</row>
    <row r="773" ht="15.75" customHeight="1" spans="1:24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</row>
    <row r="774" ht="15.75" customHeight="1" spans="1:24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</row>
    <row r="775" ht="15.75" customHeight="1" spans="1:24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</row>
    <row r="776" ht="15.75" customHeight="1" spans="1:24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</row>
    <row r="777" ht="15.75" customHeight="1" spans="1:24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</row>
    <row r="778" ht="15.75" customHeight="1" spans="1:24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</row>
    <row r="779" ht="15.75" customHeight="1" spans="1:24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</row>
    <row r="780" ht="15.75" customHeight="1" spans="1:24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</row>
    <row r="781" ht="15.75" customHeight="1" spans="1:24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</row>
    <row r="782" ht="15.75" customHeight="1" spans="1:24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</row>
    <row r="783" ht="15.75" customHeight="1" spans="1:24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</row>
    <row r="784" ht="15.75" customHeight="1" spans="1:24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</row>
    <row r="785" ht="15.75" customHeight="1" spans="1:24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</row>
    <row r="786" ht="15.75" customHeight="1" spans="1:24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</row>
    <row r="787" ht="15.75" customHeight="1" spans="1:24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</row>
    <row r="788" ht="15.75" customHeight="1" spans="1:24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</row>
    <row r="789" ht="15.75" customHeight="1" spans="1:24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</row>
    <row r="790" ht="15.75" customHeight="1" spans="1:24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</row>
    <row r="791" ht="15.75" customHeight="1" spans="1:24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</row>
    <row r="792" ht="15.75" customHeight="1" spans="1:24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</row>
    <row r="793" ht="15.75" customHeight="1" spans="1:24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</row>
    <row r="794" ht="15.75" customHeight="1" spans="1:24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</row>
    <row r="795" ht="15.75" customHeight="1" spans="1:24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</row>
    <row r="796" ht="15.75" customHeight="1" spans="1:24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</row>
    <row r="797" ht="15.75" customHeight="1" spans="1:24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</row>
    <row r="798" ht="15.75" customHeight="1" spans="1:24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</row>
    <row r="799" ht="15.75" customHeight="1" spans="1:24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</row>
    <row r="800" ht="15.75" customHeight="1" spans="1:24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</row>
    <row r="801" ht="15.75" customHeight="1" spans="1:24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</row>
    <row r="802" ht="15.75" customHeight="1" spans="1:24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</row>
    <row r="803" ht="15.75" customHeight="1" spans="1:24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</row>
    <row r="804" ht="15.75" customHeight="1" spans="1:24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</row>
    <row r="805" ht="15.75" customHeight="1" spans="1:24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</row>
    <row r="806" ht="15.75" customHeight="1" spans="1:24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</row>
    <row r="807" ht="15.75" customHeight="1" spans="1:24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</row>
    <row r="808" ht="15.75" customHeight="1" spans="1:24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</row>
    <row r="809" ht="15.75" customHeight="1" spans="1:24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</row>
    <row r="810" ht="15.75" customHeight="1" spans="1:24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</row>
    <row r="811" ht="15.75" customHeight="1" spans="1:24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</row>
    <row r="812" ht="15.75" customHeight="1" spans="1:24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</row>
    <row r="813" ht="15.75" customHeight="1" spans="1:24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</row>
    <row r="814" ht="15.75" customHeight="1" spans="1:24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</row>
    <row r="815" ht="15.75" customHeight="1" spans="1:24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</row>
    <row r="816" ht="15.75" customHeight="1" spans="1:24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</row>
    <row r="817" ht="15.75" customHeight="1" spans="1:24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</row>
    <row r="818" ht="15.75" customHeight="1" spans="1:24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</row>
    <row r="819" ht="15.75" customHeight="1" spans="1:24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</row>
    <row r="820" ht="15.75" customHeight="1" spans="1:24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</row>
    <row r="821" ht="15.75" customHeight="1" spans="1:24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</row>
    <row r="822" ht="15.75" customHeight="1" spans="1:24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</row>
    <row r="823" ht="15.75" customHeight="1" spans="1:24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</row>
    <row r="824" ht="15.75" customHeight="1" spans="1:24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</row>
    <row r="825" ht="15.75" customHeight="1" spans="1:24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</row>
    <row r="826" ht="15.75" customHeight="1" spans="1:24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</row>
    <row r="827" ht="15.75" customHeight="1" spans="1:24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</row>
    <row r="828" ht="15.75" customHeight="1" spans="1:24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</row>
    <row r="829" ht="15.75" customHeight="1" spans="1:24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</row>
    <row r="830" ht="15.75" customHeight="1" spans="1:24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</row>
    <row r="831" ht="15.75" customHeight="1" spans="1:24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</row>
    <row r="832" ht="15.75" customHeight="1" spans="1:24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</row>
    <row r="833" ht="15.75" customHeight="1" spans="1:24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</row>
    <row r="834" ht="15.75" customHeight="1" spans="1:24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</row>
    <row r="835" ht="15.75" customHeight="1" spans="1:24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</row>
    <row r="836" ht="15.75" customHeight="1" spans="1:24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</row>
    <row r="837" ht="15.75" customHeight="1" spans="1:24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</row>
    <row r="838" ht="15.75" customHeight="1" spans="1:24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</row>
    <row r="839" ht="15.75" customHeight="1" spans="1:24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</row>
    <row r="840" ht="15.75" customHeight="1" spans="1:24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</row>
    <row r="841" ht="15.75" customHeight="1" spans="1:24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</row>
    <row r="842" ht="15.75" customHeight="1" spans="1:24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</row>
    <row r="843" ht="15.75" customHeight="1" spans="1:24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</row>
    <row r="844" ht="15.75" customHeight="1" spans="1:24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</row>
    <row r="845" ht="15.75" customHeight="1" spans="1:24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</row>
    <row r="846" ht="15.75" customHeight="1" spans="1:24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</row>
    <row r="847" ht="15.75" customHeight="1" spans="1:24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</row>
    <row r="848" ht="15.75" customHeight="1" spans="1:24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</row>
    <row r="849" ht="15.75" customHeight="1" spans="1:24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</row>
    <row r="850" ht="15.75" customHeight="1" spans="1:24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</row>
    <row r="851" ht="15.75" customHeight="1" spans="1:24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</row>
    <row r="852" ht="15.75" customHeight="1" spans="1:24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</row>
    <row r="853" ht="15.75" customHeight="1" spans="1:24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</row>
    <row r="854" ht="15.75" customHeight="1" spans="1:24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</row>
    <row r="855" ht="15.75" customHeight="1" spans="1:24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</row>
    <row r="856" ht="15.75" customHeight="1" spans="1:24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</row>
    <row r="857" ht="15.75" customHeight="1" spans="1:24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</row>
    <row r="858" ht="15.75" customHeight="1" spans="1:24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</row>
    <row r="859" ht="15.75" customHeight="1" spans="1:24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</row>
    <row r="860" ht="15.75" customHeight="1" spans="1:24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</row>
    <row r="861" ht="15.75" customHeight="1" spans="1:24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</row>
    <row r="862" ht="15.75" customHeight="1" spans="1:24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</row>
    <row r="863" ht="15.75" customHeight="1" spans="1:24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</row>
    <row r="864" ht="15.75" customHeight="1" spans="1:24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</row>
    <row r="865" ht="15.75" customHeight="1" spans="1:24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</row>
    <row r="866" ht="15.75" customHeight="1" spans="1:24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</row>
    <row r="867" ht="15.75" customHeight="1" spans="1:24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</row>
    <row r="868" ht="15.75" customHeight="1" spans="1:24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</row>
    <row r="869" ht="15.75" customHeight="1" spans="1:24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</row>
    <row r="870" ht="15.75" customHeight="1" spans="1:24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</row>
    <row r="871" ht="15.75" customHeight="1" spans="1:24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</row>
    <row r="872" ht="15.75" customHeight="1" spans="1:24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</row>
    <row r="873" ht="15.75" customHeight="1" spans="1:24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</row>
    <row r="874" ht="15.75" customHeight="1" spans="1:24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</row>
    <row r="875" ht="15.75" customHeight="1" spans="1:24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</row>
    <row r="876" ht="15.75" customHeight="1" spans="1:24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</row>
    <row r="877" ht="15.75" customHeight="1" spans="1:24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</row>
    <row r="878" ht="15.75" customHeight="1" spans="1:24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</row>
    <row r="879" ht="15.75" customHeight="1" spans="1:24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</row>
    <row r="880" ht="15.75" customHeight="1" spans="1:24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</row>
    <row r="881" ht="15.75" customHeight="1" spans="1:24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</row>
    <row r="882" ht="15.75" customHeight="1" spans="1:24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</row>
    <row r="883" ht="15.75" customHeight="1" spans="1:24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</row>
    <row r="884" ht="15.75" customHeight="1" spans="1:24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</row>
    <row r="885" ht="15.75" customHeight="1" spans="1:24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</row>
    <row r="886" ht="15.75" customHeight="1" spans="1:24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</row>
    <row r="887" ht="15.75" customHeight="1" spans="1:24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</row>
    <row r="888" ht="15.75" customHeight="1" spans="1:24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</row>
    <row r="889" ht="15.75" customHeight="1" spans="1:24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</row>
    <row r="890" ht="15.75" customHeight="1" spans="1:24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</row>
    <row r="891" ht="15.75" customHeight="1" spans="1:24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</row>
    <row r="892" ht="15.75" customHeight="1" spans="1:24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</row>
    <row r="893" ht="15.75" customHeight="1" spans="1:24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</row>
    <row r="894" ht="15.75" customHeight="1" spans="1:24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</row>
    <row r="895" ht="15.75" customHeight="1" spans="1:24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</row>
    <row r="896" ht="15.75" customHeight="1" spans="1:24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</row>
    <row r="897" ht="15.75" customHeight="1" spans="1:24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</row>
    <row r="898" ht="15.75" customHeight="1" spans="1:24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</row>
    <row r="899" ht="15.75" customHeight="1" spans="1:24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</row>
    <row r="900" ht="15.75" customHeight="1" spans="1:24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</row>
    <row r="901" ht="15.75" customHeight="1" spans="1:24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</row>
    <row r="902" ht="15.75" customHeight="1" spans="1:24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</row>
    <row r="903" ht="15.75" customHeight="1" spans="1:24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</row>
    <row r="904" ht="15.75" customHeight="1" spans="1:24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</row>
    <row r="905" ht="15.75" customHeight="1" spans="1:24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</row>
    <row r="906" ht="15.75" customHeight="1" spans="1:24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</row>
    <row r="907" ht="15.75" customHeight="1" spans="1:24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</row>
    <row r="908" ht="15.75" customHeight="1" spans="1:24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</row>
    <row r="909" ht="15.75" customHeight="1" spans="1:24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</row>
    <row r="910" ht="15.75" customHeight="1" spans="1:24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</row>
    <row r="911" ht="15.75" customHeight="1" spans="1:24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</row>
    <row r="912" ht="15.75" customHeight="1" spans="1:24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</row>
    <row r="913" ht="15.75" customHeight="1" spans="1:24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</row>
    <row r="914" ht="15.75" customHeight="1" spans="1:24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</row>
    <row r="915" ht="15.75" customHeight="1" spans="1:24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</row>
    <row r="916" ht="15.75" customHeight="1" spans="1:24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</row>
    <row r="917" ht="15.75" customHeight="1" spans="1:24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</row>
    <row r="918" ht="15.75" customHeight="1" spans="1:24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</row>
    <row r="919" ht="15.75" customHeight="1" spans="1:24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</row>
    <row r="920" ht="15.75" customHeight="1" spans="1:24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</row>
    <row r="921" ht="15.75" customHeight="1" spans="1:24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</row>
    <row r="922" ht="15.75" customHeight="1" spans="1:24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</row>
    <row r="923" ht="15.75" customHeight="1" spans="1:24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</row>
    <row r="924" ht="15.75" customHeight="1" spans="1:24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</row>
    <row r="925" ht="15.75" customHeight="1" spans="1:24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</row>
    <row r="926" ht="15.75" customHeight="1" spans="1:24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</row>
    <row r="927" ht="15.75" customHeight="1" spans="1:24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</row>
    <row r="928" ht="15.75" customHeight="1" spans="1:24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</row>
    <row r="929" ht="15.75" customHeight="1" spans="1:24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</row>
    <row r="930" ht="15.75" customHeight="1" spans="1:24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</row>
    <row r="931" ht="15.75" customHeight="1" spans="1:24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</row>
    <row r="932" ht="15.75" customHeight="1" spans="1:24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</row>
    <row r="933" ht="15.75" customHeight="1" spans="1:24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</row>
    <row r="934" ht="15.75" customHeight="1" spans="1:24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</row>
    <row r="935" ht="15.75" customHeight="1" spans="1:24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</row>
    <row r="936" ht="15.75" customHeight="1" spans="1:24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</row>
    <row r="937" ht="15.75" customHeight="1" spans="1:24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</row>
    <row r="938" ht="15.75" customHeight="1" spans="1:24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</row>
    <row r="939" ht="15.75" customHeight="1" spans="1:24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</row>
    <row r="940" ht="15.75" customHeight="1" spans="1:24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</row>
    <row r="941" ht="15.75" customHeight="1" spans="1:24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</row>
    <row r="942" ht="15.75" customHeight="1" spans="1:24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</row>
    <row r="943" ht="15.75" customHeight="1" spans="1:24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</row>
    <row r="944" ht="15.75" customHeight="1" spans="1:24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</row>
    <row r="945" ht="15.75" customHeight="1" spans="1:24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</row>
    <row r="946" ht="15.75" customHeight="1" spans="1:24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</row>
    <row r="947" ht="15.75" customHeight="1" spans="1:24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</row>
    <row r="948" ht="15.75" customHeight="1" spans="1:24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</row>
    <row r="949" ht="15.75" customHeight="1" spans="1:24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</row>
    <row r="950" ht="15.75" customHeight="1" spans="1:24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</row>
    <row r="951" ht="15.75" customHeight="1" spans="1:24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</row>
    <row r="952" ht="15.75" customHeight="1" spans="1:24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</row>
    <row r="953" ht="15.75" customHeight="1" spans="1:24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</row>
    <row r="954" ht="15.75" customHeight="1" spans="1:24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</row>
    <row r="955" ht="15.75" customHeight="1" spans="1:24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</row>
    <row r="956" ht="15.75" customHeight="1" spans="1:24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</row>
    <row r="957" ht="15.75" customHeight="1" spans="1:24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</row>
    <row r="958" ht="15.75" customHeight="1" spans="1:24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</row>
    <row r="959" ht="15.75" customHeight="1" spans="1:24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</row>
    <row r="960" ht="15.75" customHeight="1" spans="1:24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</row>
    <row r="961" ht="15.75" customHeight="1" spans="1:24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</row>
    <row r="962" ht="15.75" customHeight="1" spans="1:24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</row>
    <row r="963" ht="15.75" customHeight="1" spans="1:24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</row>
    <row r="964" ht="15.75" customHeight="1" spans="1:24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</row>
    <row r="965" ht="15.75" customHeight="1" spans="1:24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</row>
    <row r="966" ht="15.75" customHeight="1" spans="1:24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</row>
    <row r="967" ht="15.75" customHeight="1" spans="1:24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</row>
    <row r="968" ht="15.75" customHeight="1" spans="1:24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</row>
    <row r="969" ht="15.75" customHeight="1" spans="1:24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</row>
    <row r="970" ht="15.75" customHeight="1" spans="1:24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</row>
    <row r="971" ht="15.75" customHeight="1" spans="1:24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</row>
    <row r="972" ht="15.75" customHeight="1" spans="1:24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</row>
    <row r="973" ht="15.75" customHeight="1" spans="1:24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</row>
    <row r="974" ht="15.75" customHeight="1" spans="1:24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</row>
    <row r="975" ht="15.75" customHeight="1" spans="1:24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</row>
    <row r="976" ht="15.75" customHeight="1" spans="1:24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</row>
    <row r="977" ht="15.75" customHeight="1" spans="1:24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</row>
    <row r="978" ht="15.75" customHeight="1" spans="1:24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</row>
    <row r="979" ht="15.75" customHeight="1" spans="1:24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</row>
    <row r="980" ht="15.75" customHeight="1" spans="1:24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</row>
    <row r="981" ht="15.75" customHeight="1" spans="1:24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</row>
    <row r="982" ht="15.75" customHeight="1" spans="1:24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</row>
    <row r="983" ht="15.75" customHeight="1" spans="1:24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</row>
    <row r="984" ht="15.75" customHeight="1" spans="1:24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</row>
    <row r="985" ht="15.75" customHeight="1" spans="1:24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</row>
    <row r="986" ht="15.75" customHeight="1" spans="1:24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</row>
    <row r="987" ht="15.75" customHeight="1" spans="1:24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</row>
    <row r="988" ht="15.75" customHeight="1" spans="1:24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</row>
    <row r="989" ht="15.75" customHeight="1" spans="1:24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</row>
    <row r="990" ht="15.75" customHeight="1" spans="1:24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</row>
    <row r="991" ht="15.75" customHeight="1" spans="1:24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</row>
    <row r="992" ht="15.75" customHeight="1" spans="1:24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</row>
    <row r="993" ht="15.75" customHeight="1" spans="1:24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</row>
    <row r="994" ht="15.75" customHeight="1" spans="1:24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</row>
    <row r="995" ht="15.75" customHeight="1" spans="1:24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</row>
    <row r="996" ht="15.75" customHeight="1" spans="1:24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</row>
    <row r="997" ht="15.75" customHeight="1" spans="1:24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Z1000"/>
  <sheetViews>
    <sheetView workbookViewId="0">
      <pane ySplit="1" topLeftCell="A2" activePane="bottomLeft" state="frozen"/>
      <selection/>
      <selection pane="bottomLeft" activeCell="B3" sqref="B3"/>
    </sheetView>
  </sheetViews>
  <sheetFormatPr defaultColWidth="14.43" defaultRowHeight="15" customHeight="1"/>
  <cols>
    <col min="1" max="1" width="20.57" customWidth="1"/>
    <col min="2" max="2" width="7.71" customWidth="1"/>
    <col min="3" max="3" width="41.29" customWidth="1"/>
    <col min="4" max="4" width="20.86" customWidth="1"/>
    <col min="5" max="5" width="13.29" customWidth="1"/>
    <col min="6" max="6" width="10.14" customWidth="1"/>
    <col min="7" max="7" width="54.29" customWidth="1"/>
    <col min="8" max="8" width="10.57" customWidth="1"/>
    <col min="9" max="26" width="36.57" customWidth="1"/>
  </cols>
  <sheetData>
    <row r="1" ht="29" spans="1:26">
      <c r="A1" s="96" t="s">
        <v>14</v>
      </c>
      <c r="B1" s="97" t="s">
        <v>6</v>
      </c>
      <c r="C1" s="98" t="s">
        <v>15</v>
      </c>
      <c r="D1" s="98" t="s">
        <v>16</v>
      </c>
      <c r="E1" s="98" t="s">
        <v>10</v>
      </c>
      <c r="F1" s="99" t="s">
        <v>17</v>
      </c>
      <c r="G1" s="99" t="s">
        <v>18</v>
      </c>
      <c r="H1" s="99" t="s">
        <v>1</v>
      </c>
      <c r="I1" s="98"/>
      <c r="J1" s="100"/>
      <c r="K1" s="100"/>
      <c r="L1" s="100"/>
      <c r="M1" s="100"/>
      <c r="N1" s="100"/>
      <c r="O1" s="100"/>
      <c r="P1" s="100"/>
      <c r="Q1" s="100"/>
      <c r="R1" s="100"/>
      <c r="S1" s="100"/>
      <c r="T1" s="100"/>
      <c r="U1" s="100"/>
      <c r="V1" s="100"/>
      <c r="W1" s="100"/>
      <c r="X1" s="100"/>
      <c r="Y1" s="100"/>
      <c r="Z1" s="100"/>
    </row>
    <row r="2" ht="26" spans="1:26">
      <c r="A2" s="100" t="str">
        <f>IFERROR(__xludf.DUMMYFUNCTION("QUERY(CandidatosFilaDeEspera!A1:L1599, ""SELECT  Col9, Col7, Col10, Col12, Col11, Col4, Col3, Col2 where Col4 = 'INFANTIL 1' OR Col4 = 'INFANTIL 2' OR Col4 = 'INFANTIL 3'"",0)"),"24/03/2026 13:31:53")</f>
        <v>24/03/2026 13:31:53</v>
      </c>
      <c r="B2" s="101" t="str">
        <f>IFERROR(__xludf.DUMMYFUNCTION("""COMPUTED_VALUE"""),"1")</f>
        <v>1</v>
      </c>
      <c r="C2" s="100" t="str">
        <f>IFERROR(__xludf.DUMMYFUNCTION("""COMPUTED_VALUE"""),"MARIA EDUARDA SANTANA FELIX DA SILVA")</f>
        <v>MARIA EDUARDA SANTANA FELIX DA SILVA</v>
      </c>
      <c r="D2" s="100" t="str">
        <f>IFERROR(__xludf.DUMMYFUNCTION("""COMPUTED_VALUE"""),"09/06/2024")</f>
        <v>09/06/2024</v>
      </c>
      <c r="E2" s="100" t="str">
        <f>IFERROR(__xludf.DUMMYFUNCTION("""COMPUTED_VALUE"""),"004.110.684-90")</f>
        <v>004.110.684-90</v>
      </c>
      <c r="F2" s="100" t="str">
        <f>IFERROR(__xludf.DUMMYFUNCTION("""COMPUTED_VALUE"""),"INFANTIL 1")</f>
        <v>INFANTIL 1</v>
      </c>
      <c r="G2" s="100" t="str">
        <f>IFERROR(__xludf.DUMMYFUNCTION("""COMPUTED_VALUE"""),"CEMEI DR. PAULO MENDES")</f>
        <v>CEMEI DR. PAULO MENDES</v>
      </c>
      <c r="H2" s="100" t="str">
        <f>IFERROR(__xludf.DUMMYFUNCTION("""COMPUTED_VALUE"""),"REGIONAL 7")</f>
        <v>REGIONAL 7</v>
      </c>
      <c r="I2" s="100"/>
      <c r="J2" s="100"/>
      <c r="K2" s="100"/>
      <c r="L2" s="100"/>
      <c r="M2" s="100"/>
      <c r="N2" s="100"/>
      <c r="O2" s="100"/>
      <c r="P2" s="100"/>
      <c r="Q2" s="100"/>
      <c r="R2" s="100"/>
      <c r="S2" s="100"/>
      <c r="T2" s="100"/>
      <c r="U2" s="100"/>
      <c r="V2" s="100"/>
      <c r="W2" s="100"/>
      <c r="X2" s="100"/>
      <c r="Y2" s="100"/>
      <c r="Z2" s="100"/>
    </row>
    <row r="3" ht="26" spans="1:26">
      <c r="A3" s="100" t="str">
        <f>IFERROR(__xludf.DUMMYFUNCTION("""COMPUTED_VALUE"""),"27/03/2026 12:51:51")</f>
        <v>27/03/2026 12:51:51</v>
      </c>
      <c r="B3" s="101" t="str">
        <f>IFERROR(__xludf.DUMMYFUNCTION("""COMPUTED_VALUE"""),"2")</f>
        <v>2</v>
      </c>
      <c r="C3" s="100" t="str">
        <f>IFERROR(__xludf.DUMMYFUNCTION("""COMPUTED_VALUE"""),"OLIVER BENJAMIN DA SILVA LIMA")</f>
        <v>OLIVER BENJAMIN DA SILVA LIMA</v>
      </c>
      <c r="D3" s="100" t="str">
        <f>IFERROR(__xludf.DUMMYFUNCTION("""COMPUTED_VALUE"""),"13/11/2025")</f>
        <v>13/11/2025</v>
      </c>
      <c r="E3" s="100" t="str">
        <f>IFERROR(__xludf.DUMMYFUNCTION("""COMPUTED_VALUE"""),"022.780.734-00")</f>
        <v>022.780.734-00</v>
      </c>
      <c r="F3" s="100" t="str">
        <f>IFERROR(__xludf.DUMMYFUNCTION("""COMPUTED_VALUE"""),"INFANTIL 1")</f>
        <v>INFANTIL 1</v>
      </c>
      <c r="G3" s="100" t="str">
        <f>IFERROR(__xludf.DUMMYFUNCTION("""COMPUTED_VALUE"""),"CEMEI DR. PAULO MENDES")</f>
        <v>CEMEI DR. PAULO MENDES</v>
      </c>
      <c r="H3" s="100" t="str">
        <f>IFERROR(__xludf.DUMMYFUNCTION("""COMPUTED_VALUE"""),"REGIONAL 7")</f>
        <v>REGIONAL 7</v>
      </c>
      <c r="I3" s="100"/>
      <c r="J3" s="100"/>
      <c r="K3" s="100"/>
      <c r="L3" s="100"/>
      <c r="M3" s="100"/>
      <c r="N3" s="100"/>
      <c r="O3" s="100"/>
      <c r="P3" s="100"/>
      <c r="Q3" s="100"/>
      <c r="R3" s="100"/>
      <c r="S3" s="100"/>
      <c r="T3" s="100"/>
      <c r="U3" s="100"/>
      <c r="V3" s="100"/>
      <c r="W3" s="100"/>
      <c r="X3" s="100"/>
      <c r="Y3" s="100"/>
      <c r="Z3" s="100"/>
    </row>
    <row r="4" ht="26" spans="1:26">
      <c r="A4" s="100" t="str">
        <f>IFERROR(__xludf.DUMMYFUNCTION("""COMPUTED_VALUE"""),"21/05/2026 11:32:39")</f>
        <v>21/05/2026 11:32:39</v>
      </c>
      <c r="B4" s="101" t="str">
        <f>IFERROR(__xludf.DUMMYFUNCTION("""COMPUTED_VALUE"""),"3")</f>
        <v>3</v>
      </c>
      <c r="C4" s="100" t="str">
        <f>IFERROR(__xludf.DUMMYFUNCTION("""COMPUTED_VALUE"""),"KAUÊ HENRIQUE DE ARAÚJO SILVA")</f>
        <v>KAUÊ HENRIQUE DE ARAÚJO SILVA</v>
      </c>
      <c r="D4" s="100" t="str">
        <f>IFERROR(__xludf.DUMMYFUNCTION("""COMPUTED_VALUE"""),"01/04/2024")</f>
        <v>01/04/2024</v>
      </c>
      <c r="E4" s="100" t="str">
        <f>IFERROR(__xludf.DUMMYFUNCTION("""COMPUTED_VALUE"""),"002.527.454-69")</f>
        <v>002.527.454-69</v>
      </c>
      <c r="F4" s="100" t="str">
        <f>IFERROR(__xludf.DUMMYFUNCTION("""COMPUTED_VALUE"""),"INFANTIL 1")</f>
        <v>INFANTIL 1</v>
      </c>
      <c r="G4" s="100" t="str">
        <f>IFERROR(__xludf.DUMMYFUNCTION("""COMPUTED_VALUE"""),"CEMEI DR. PAULO MENDES")</f>
        <v>CEMEI DR. PAULO MENDES</v>
      </c>
      <c r="H4" s="100" t="str">
        <f>IFERROR(__xludf.DUMMYFUNCTION("""COMPUTED_VALUE"""),"REGIONAL 7")</f>
        <v>REGIONAL 7</v>
      </c>
      <c r="I4" s="100"/>
      <c r="J4" s="100"/>
      <c r="K4" s="100"/>
      <c r="L4" s="100"/>
      <c r="M4" s="100"/>
      <c r="N4" s="100"/>
      <c r="O4" s="100"/>
      <c r="P4" s="100"/>
      <c r="Q4" s="100"/>
      <c r="R4" s="100"/>
      <c r="S4" s="100"/>
      <c r="T4" s="100"/>
      <c r="U4" s="100"/>
      <c r="V4" s="100"/>
      <c r="W4" s="100"/>
      <c r="X4" s="100"/>
      <c r="Y4" s="100"/>
      <c r="Z4" s="100"/>
    </row>
    <row r="5" ht="26" spans="1:26">
      <c r="A5" s="100" t="str">
        <f>IFERROR(__xludf.DUMMYFUNCTION("""COMPUTED_VALUE"""),"22/05/2026 09:22:30")</f>
        <v>22/05/2026 09:22:30</v>
      </c>
      <c r="B5" s="101" t="str">
        <f>IFERROR(__xludf.DUMMYFUNCTION("""COMPUTED_VALUE"""),"4")</f>
        <v>4</v>
      </c>
      <c r="C5" s="100" t="str">
        <f>IFERROR(__xludf.DUMMYFUNCTION("""COMPUTED_VALUE"""),"Aylla Eduarda Marques da Silva")</f>
        <v>Aylla Eduarda Marques da Silva</v>
      </c>
      <c r="D5" s="100" t="str">
        <f>IFERROR(__xludf.DUMMYFUNCTION("""COMPUTED_VALUE"""),"27/07/2024")</f>
        <v>27/07/2024</v>
      </c>
      <c r="E5" s="100" t="str">
        <f>IFERROR(__xludf.DUMMYFUNCTION("""COMPUTED_VALUE"""),"003.643.684-46")</f>
        <v>003.643.684-46</v>
      </c>
      <c r="F5" s="100" t="str">
        <f>IFERROR(__xludf.DUMMYFUNCTION("""COMPUTED_VALUE"""),"INFANTIL 1")</f>
        <v>INFANTIL 1</v>
      </c>
      <c r="G5" s="100" t="str">
        <f>IFERROR(__xludf.DUMMYFUNCTION("""COMPUTED_VALUE"""),"CEMEI DR. PAULO MENDES")</f>
        <v>CEMEI DR. PAULO MENDES</v>
      </c>
      <c r="H5" s="100" t="str">
        <f>IFERROR(__xludf.DUMMYFUNCTION("""COMPUTED_VALUE"""),"REGIONAL 7")</f>
        <v>REGIONAL 7</v>
      </c>
      <c r="I5" s="100"/>
      <c r="J5" s="100"/>
      <c r="K5" s="100"/>
      <c r="L5" s="100"/>
      <c r="M5" s="100"/>
      <c r="N5" s="100"/>
      <c r="O5" s="100"/>
      <c r="P5" s="100"/>
      <c r="Q5" s="100"/>
      <c r="R5" s="100"/>
      <c r="S5" s="100"/>
      <c r="T5" s="100"/>
      <c r="U5" s="100"/>
      <c r="V5" s="100"/>
      <c r="W5" s="100"/>
      <c r="X5" s="100"/>
      <c r="Y5" s="100"/>
      <c r="Z5" s="100"/>
    </row>
    <row r="6" ht="26" spans="1:26">
      <c r="A6" s="100" t="str">
        <f>IFERROR(__xludf.DUMMYFUNCTION("""COMPUTED_VALUE"""),"11/05/2026 15:39:59")</f>
        <v>11/05/2026 15:39:59</v>
      </c>
      <c r="B6" s="101" t="str">
        <f>IFERROR(__xludf.DUMMYFUNCTION("""COMPUTED_VALUE"""),"1")</f>
        <v>1</v>
      </c>
      <c r="C6" s="100" t="str">
        <f>IFERROR(__xludf.DUMMYFUNCTION("""COMPUTED_VALUE"""),"JOÃO LUCAS AQUINO SANTOS")</f>
        <v>JOÃO LUCAS AQUINO SANTOS</v>
      </c>
      <c r="D6" s="100" t="str">
        <f>IFERROR(__xludf.DUMMYFUNCTION("""COMPUTED_VALUE"""),"01/04/2023")</f>
        <v>01/04/2023</v>
      </c>
      <c r="E6" s="100" t="str">
        <f>IFERROR(__xludf.DUMMYFUNCTION("""COMPUTED_VALUE"""),"185.051.604-95")</f>
        <v>185.051.604-95</v>
      </c>
      <c r="F6" s="100" t="str">
        <f>IFERROR(__xludf.DUMMYFUNCTION("""COMPUTED_VALUE"""),"INFANTIL 2")</f>
        <v>INFANTIL 2</v>
      </c>
      <c r="G6" s="100" t="str">
        <f>IFERROR(__xludf.DUMMYFUNCTION("""COMPUTED_VALUE"""),"CEMEI DR. PAULO MENDES")</f>
        <v>CEMEI DR. PAULO MENDES</v>
      </c>
      <c r="H6" s="100" t="str">
        <f>IFERROR(__xludf.DUMMYFUNCTION("""COMPUTED_VALUE"""),"REGIONAL 7")</f>
        <v>REGIONAL 7</v>
      </c>
      <c r="I6" s="100"/>
      <c r="J6" s="100"/>
      <c r="K6" s="100"/>
      <c r="L6" s="100"/>
      <c r="M6" s="100"/>
      <c r="N6" s="100"/>
      <c r="O6" s="100"/>
      <c r="P6" s="100"/>
      <c r="Q6" s="100"/>
      <c r="R6" s="100"/>
      <c r="S6" s="100"/>
      <c r="T6" s="100"/>
      <c r="U6" s="100"/>
      <c r="V6" s="100"/>
      <c r="W6" s="100"/>
      <c r="X6" s="100"/>
      <c r="Y6" s="100"/>
      <c r="Z6" s="100"/>
    </row>
    <row r="7" ht="26" spans="1:26">
      <c r="A7" s="100" t="str">
        <f>IFERROR(__xludf.DUMMYFUNCTION("""COMPUTED_VALUE"""),"05/03/2026 14:41:21")</f>
        <v>05/03/2026 14:41:21</v>
      </c>
      <c r="B7" s="101" t="str">
        <f>IFERROR(__xludf.DUMMYFUNCTION("""COMPUTED_VALUE"""),"1")</f>
        <v>1</v>
      </c>
      <c r="C7" s="100" t="str">
        <f>IFERROR(__xludf.DUMMYFUNCTION("""COMPUTED_VALUE"""),"ISABELLY LUÍZA GONÇALVES DA SILVA")</f>
        <v>ISABELLY LUÍZA GONÇALVES DA SILVA</v>
      </c>
      <c r="D7" s="100" t="str">
        <f>IFERROR(__xludf.DUMMYFUNCTION("""COMPUTED_VALUE"""),"04/03/2023")</f>
        <v>04/03/2023</v>
      </c>
      <c r="E7" s="100" t="str">
        <f>IFERROR(__xludf.DUMMYFUNCTION("""COMPUTED_VALUE"""),"184.641.384-23")</f>
        <v>184.641.384-23</v>
      </c>
      <c r="F7" s="100" t="str">
        <f>IFERROR(__xludf.DUMMYFUNCTION("""COMPUTED_VALUE"""),"INFANTIL 3")</f>
        <v>INFANTIL 3</v>
      </c>
      <c r="G7" s="100" t="str">
        <f>IFERROR(__xludf.DUMMYFUNCTION("""COMPUTED_VALUE"""),"CEMEI DR. PAULO MENDES")</f>
        <v>CEMEI DR. PAULO MENDES</v>
      </c>
      <c r="H7" s="100" t="str">
        <f>IFERROR(__xludf.DUMMYFUNCTION("""COMPUTED_VALUE"""),"REGIONAL 7")</f>
        <v>REGIONAL 7</v>
      </c>
      <c r="I7" s="100"/>
      <c r="J7" s="100"/>
      <c r="K7" s="100"/>
      <c r="L7" s="100"/>
      <c r="M7" s="100"/>
      <c r="N7" s="100"/>
      <c r="O7" s="100"/>
      <c r="P7" s="100"/>
      <c r="Q7" s="100"/>
      <c r="R7" s="100"/>
      <c r="S7" s="100"/>
      <c r="T7" s="100"/>
      <c r="U7" s="100"/>
      <c r="V7" s="100"/>
      <c r="W7" s="100"/>
      <c r="X7" s="100"/>
      <c r="Y7" s="100"/>
      <c r="Z7" s="100"/>
    </row>
    <row r="8" ht="26" spans="1:26">
      <c r="A8" s="100" t="str">
        <f>IFERROR(__xludf.DUMMYFUNCTION("""COMPUTED_VALUE"""),"15/05/2026 11:07:04")</f>
        <v>15/05/2026 11:07:04</v>
      </c>
      <c r="B8" s="101" t="str">
        <f>IFERROR(__xludf.DUMMYFUNCTION("""COMPUTED_VALUE"""),"2")</f>
        <v>2</v>
      </c>
      <c r="C8" s="100" t="str">
        <f>IFERROR(__xludf.DUMMYFUNCTION("""COMPUTED_VALUE"""),"AUGUSTO MENDES DE BARROS")</f>
        <v>AUGUSTO MENDES DE BARROS</v>
      </c>
      <c r="D8" s="100" t="str">
        <f>IFERROR(__xludf.DUMMYFUNCTION("""COMPUTED_VALUE"""),"04/08/2022")</f>
        <v>04/08/2022</v>
      </c>
      <c r="E8" s="100" t="str">
        <f>IFERROR(__xludf.DUMMYFUNCTION("""COMPUTED_VALUE"""),"182.434.044-30")</f>
        <v>182.434.044-30</v>
      </c>
      <c r="F8" s="100" t="str">
        <f>IFERROR(__xludf.DUMMYFUNCTION("""COMPUTED_VALUE"""),"INFANTIL 3")</f>
        <v>INFANTIL 3</v>
      </c>
      <c r="G8" s="100" t="str">
        <f>IFERROR(__xludf.DUMMYFUNCTION("""COMPUTED_VALUE"""),"CEMEI DR. PAULO MENDES")</f>
        <v>CEMEI DR. PAULO MENDES</v>
      </c>
      <c r="H8" s="100" t="str">
        <f>IFERROR(__xludf.DUMMYFUNCTION("""COMPUTED_VALUE"""),"REGIONAL 7")</f>
        <v>REGIONAL 7</v>
      </c>
      <c r="I8" s="100"/>
      <c r="J8" s="100"/>
      <c r="K8" s="100"/>
      <c r="L8" s="100"/>
      <c r="M8" s="100"/>
      <c r="N8" s="100"/>
      <c r="O8" s="100"/>
      <c r="P8" s="100"/>
      <c r="Q8" s="100"/>
      <c r="R8" s="100"/>
      <c r="S8" s="100"/>
      <c r="T8" s="100"/>
      <c r="U8" s="100"/>
      <c r="V8" s="100"/>
      <c r="W8" s="100"/>
      <c r="X8" s="100"/>
      <c r="Y8" s="100"/>
      <c r="Z8" s="100"/>
    </row>
    <row r="9" ht="26" spans="1:26">
      <c r="A9" s="100" t="str">
        <f>IFERROR(__xludf.DUMMYFUNCTION("""COMPUTED_VALUE"""),"18/05/2026 09:15:19")</f>
        <v>18/05/2026 09:15:19</v>
      </c>
      <c r="B9" s="101" t="str">
        <f>IFERROR(__xludf.DUMMYFUNCTION("""COMPUTED_VALUE"""),"3")</f>
        <v>3</v>
      </c>
      <c r="C9" s="100" t="str">
        <f>IFERROR(__xludf.DUMMYFUNCTION("""COMPUTED_VALUE"""),"HELLOYSE VITÓRIA SANTOS DUARTE")</f>
        <v>HELLOYSE VITÓRIA SANTOS DUARTE</v>
      </c>
      <c r="D9" s="100" t="str">
        <f>IFERROR(__xludf.DUMMYFUNCTION("""COMPUTED_VALUE"""),"11/01/2023")</f>
        <v>11/01/2023</v>
      </c>
      <c r="E9" s="100" t="str">
        <f>IFERROR(__xludf.DUMMYFUNCTION("""COMPUTED_VALUE"""),"184.035.244-20")</f>
        <v>184.035.244-20</v>
      </c>
      <c r="F9" s="100" t="str">
        <f>IFERROR(__xludf.DUMMYFUNCTION("""COMPUTED_VALUE"""),"INFANTIL 3")</f>
        <v>INFANTIL 3</v>
      </c>
      <c r="G9" s="100" t="str">
        <f>IFERROR(__xludf.DUMMYFUNCTION("""COMPUTED_VALUE"""),"CEMEI DR. PAULO MENDES")</f>
        <v>CEMEI DR. PAULO MENDES</v>
      </c>
      <c r="H9" s="100" t="str">
        <f>IFERROR(__xludf.DUMMYFUNCTION("""COMPUTED_VALUE"""),"REGIONAL 7")</f>
        <v>REGIONAL 7</v>
      </c>
      <c r="I9" s="100"/>
      <c r="J9" s="100"/>
      <c r="K9" s="100"/>
      <c r="L9" s="100"/>
      <c r="M9" s="100"/>
      <c r="N9" s="100"/>
      <c r="O9" s="100"/>
      <c r="P9" s="100"/>
      <c r="Q9" s="100"/>
      <c r="R9" s="100"/>
      <c r="S9" s="100"/>
      <c r="T9" s="100"/>
      <c r="U9" s="100"/>
      <c r="V9" s="100"/>
      <c r="W9" s="100"/>
      <c r="X9" s="100"/>
      <c r="Y9" s="100"/>
      <c r="Z9" s="100"/>
    </row>
    <row r="10" ht="26" spans="1:26">
      <c r="A10" s="100" t="str">
        <f>IFERROR(__xludf.DUMMYFUNCTION("""COMPUTED_VALUE"""),"20/04/2026 09:51:30")</f>
        <v>20/04/2026 09:51:30</v>
      </c>
      <c r="B10" s="101" t="str">
        <f>IFERROR(__xludf.DUMMYFUNCTION("""COMPUTED_VALUE"""),"1")</f>
        <v>1</v>
      </c>
      <c r="C10" s="100" t="str">
        <f>IFERROR(__xludf.DUMMYFUNCTION("""COMPUTED_VALUE"""),"HELENA DE LIMA ALVES")</f>
        <v>HELENA DE LIMA ALVES</v>
      </c>
      <c r="D10" s="100" t="str">
        <f>IFERROR(__xludf.DUMMYFUNCTION("""COMPUTED_VALUE"""),"13/06/2022")</f>
        <v>13/06/2022</v>
      </c>
      <c r="E10" s="100" t="str">
        <f>IFERROR(__xludf.DUMMYFUNCTION("""COMPUTED_VALUE"""),"182.054.644-64")</f>
        <v>182.054.644-64</v>
      </c>
      <c r="F10" s="100" t="str">
        <f>IFERROR(__xludf.DUMMYFUNCTION("""COMPUTED_VALUE"""),"INFANTIL 3")</f>
        <v>INFANTIL 3</v>
      </c>
      <c r="G10" s="100" t="str">
        <f>IFERROR(__xludf.DUMMYFUNCTION("""COMPUTED_VALUE"""),"CEMEI EDVALDO SEVERIANO DE OLIVEIRA")</f>
        <v>CEMEI EDVALDO SEVERIANO DE OLIVEIRA</v>
      </c>
      <c r="H10" s="100" t="str">
        <f>IFERROR(__xludf.DUMMYFUNCTION("""COMPUTED_VALUE"""),"REGIONAL 3")</f>
        <v>REGIONAL 3</v>
      </c>
      <c r="I10" s="100"/>
      <c r="J10" s="100"/>
      <c r="K10" s="100"/>
      <c r="L10" s="100"/>
      <c r="M10" s="100"/>
      <c r="N10" s="100"/>
      <c r="O10" s="100"/>
      <c r="P10" s="100"/>
      <c r="Q10" s="100"/>
      <c r="R10" s="100"/>
      <c r="S10" s="100"/>
      <c r="T10" s="100"/>
      <c r="U10" s="100"/>
      <c r="V10" s="100"/>
      <c r="W10" s="100"/>
      <c r="X10" s="100"/>
      <c r="Y10" s="100"/>
      <c r="Z10" s="100"/>
    </row>
    <row r="11" ht="26" spans="1:26">
      <c r="A11" s="100" t="str">
        <f>IFERROR(__xludf.DUMMYFUNCTION("""COMPUTED_VALUE"""),"06/02/2026 09:17:41")</f>
        <v>06/02/2026 09:17:41</v>
      </c>
      <c r="B11" s="101" t="str">
        <f>IFERROR(__xludf.DUMMYFUNCTION("""COMPUTED_VALUE"""),"1")</f>
        <v>1</v>
      </c>
      <c r="C11" s="100" t="str">
        <f>IFERROR(__xludf.DUMMYFUNCTION("""COMPUTED_VALUE"""),"JOÃO VITOR CERQUEIRA CAMPOS")</f>
        <v>JOÃO VITOR CERQUEIRA CAMPOS</v>
      </c>
      <c r="D11" s="100" t="str">
        <f>IFERROR(__xludf.DUMMYFUNCTION("""COMPUTED_VALUE"""),"26/03/2023")</f>
        <v>26/03/2023</v>
      </c>
      <c r="E11" s="100" t="str">
        <f>IFERROR(__xludf.DUMMYFUNCTION("""COMPUTED_VALUE"""),"184.852.244-42")</f>
        <v>184.852.244-42</v>
      </c>
      <c r="F11" s="100" t="str">
        <f>IFERROR(__xludf.DUMMYFUNCTION("""COMPUTED_VALUE"""),"INFANTIL 3")</f>
        <v>INFANTIL 3</v>
      </c>
      <c r="G11" s="100" t="str">
        <f>IFERROR(__xludf.DUMMYFUNCTION("""COMPUTED_VALUE"""),"CEMEI ELIEL EUSTAQUIO DA SILVA")</f>
        <v>CEMEI ELIEL EUSTAQUIO DA SILVA</v>
      </c>
      <c r="H11" s="100" t="str">
        <f>IFERROR(__xludf.DUMMYFUNCTION("""COMPUTED_VALUE"""),"REGIONAL 7")</f>
        <v>REGIONAL 7</v>
      </c>
      <c r="I11" s="100"/>
      <c r="J11" s="100"/>
      <c r="K11" s="100"/>
      <c r="L11" s="100"/>
      <c r="M11" s="100"/>
      <c r="N11" s="100"/>
      <c r="O11" s="100"/>
      <c r="P11" s="100"/>
      <c r="Q11" s="100"/>
      <c r="R11" s="100"/>
      <c r="S11" s="100"/>
      <c r="T11" s="100"/>
      <c r="U11" s="100"/>
      <c r="V11" s="100"/>
      <c r="W11" s="100"/>
      <c r="X11" s="100"/>
      <c r="Y11" s="100"/>
      <c r="Z11" s="100"/>
    </row>
    <row r="12" ht="26" spans="1:26">
      <c r="A12" s="100" t="str">
        <f>IFERROR(__xludf.DUMMYFUNCTION("""COMPUTED_VALUE"""),"04/05/2026 08:16:17")</f>
        <v>04/05/2026 08:16:17</v>
      </c>
      <c r="B12" s="101" t="str">
        <f>IFERROR(__xludf.DUMMYFUNCTION("""COMPUTED_VALUE"""),"2")</f>
        <v>2</v>
      </c>
      <c r="C12" s="100" t="str">
        <f>IFERROR(__xludf.DUMMYFUNCTION("""COMPUTED_VALUE"""),"ASAFE ALLAN DE PAULA SILVA")</f>
        <v>ASAFE ALLAN DE PAULA SILVA</v>
      </c>
      <c r="D12" s="100" t="str">
        <f>IFERROR(__xludf.DUMMYFUNCTION("""COMPUTED_VALUE"""),"24/12/2022")</f>
        <v>24/12/2022</v>
      </c>
      <c r="E12" s="100" t="str">
        <f>IFERROR(__xludf.DUMMYFUNCTION("""COMPUTED_VALUE"""),"183.832.884-09")</f>
        <v>183.832.884-09</v>
      </c>
      <c r="F12" s="100" t="str">
        <f>IFERROR(__xludf.DUMMYFUNCTION("""COMPUTED_VALUE"""),"INFANTIL 3")</f>
        <v>INFANTIL 3</v>
      </c>
      <c r="G12" s="100" t="str">
        <f>IFERROR(__xludf.DUMMYFUNCTION("""COMPUTED_VALUE"""),"CEMEI ELIEL EUSTAQUIO DA SILVA")</f>
        <v>CEMEI ELIEL EUSTAQUIO DA SILVA</v>
      </c>
      <c r="H12" s="100" t="str">
        <f>IFERROR(__xludf.DUMMYFUNCTION("""COMPUTED_VALUE"""),"REGIONAL 7")</f>
        <v>REGIONAL 7</v>
      </c>
      <c r="I12" s="100"/>
      <c r="J12" s="100"/>
      <c r="K12" s="100"/>
      <c r="L12" s="100"/>
      <c r="M12" s="100"/>
      <c r="N12" s="100"/>
      <c r="O12" s="100"/>
      <c r="P12" s="100"/>
      <c r="Q12" s="100"/>
      <c r="R12" s="100"/>
      <c r="S12" s="100"/>
      <c r="T12" s="100"/>
      <c r="U12" s="100"/>
      <c r="V12" s="100"/>
      <c r="W12" s="100"/>
      <c r="X12" s="100"/>
      <c r="Y12" s="100"/>
      <c r="Z12" s="100"/>
    </row>
    <row r="13" ht="26" spans="1:26">
      <c r="A13" s="100" t="str">
        <f>IFERROR(__xludf.DUMMYFUNCTION("""COMPUTED_VALUE"""),"09/03/2026 17:29:00")</f>
        <v>09/03/2026 17:29:00</v>
      </c>
      <c r="B13" s="101" t="str">
        <f>IFERROR(__xludf.DUMMYFUNCTION("""COMPUTED_VALUE"""),"1")</f>
        <v>1</v>
      </c>
      <c r="C13" s="100" t="str">
        <f>IFERROR(__xludf.DUMMYFUNCTION("""COMPUTED_VALUE"""),"MIGUEL DE CARVALHO MELO CARDOSO")</f>
        <v>MIGUEL DE CARVALHO MELO CARDOSO</v>
      </c>
      <c r="D13" s="100" t="str">
        <f>IFERROR(__xludf.DUMMYFUNCTION("""COMPUTED_VALUE"""),"21/05/2024")</f>
        <v>21/05/2024</v>
      </c>
      <c r="E13" s="100" t="str">
        <f>IFERROR(__xludf.DUMMYFUNCTION("""COMPUTED_VALUE"""),"003.288.894-58")</f>
        <v>003.288.894-58</v>
      </c>
      <c r="F13" s="100" t="str">
        <f>IFERROR(__xludf.DUMMYFUNCTION("""COMPUTED_VALUE"""),"INFANTIL 1")</f>
        <v>INFANTIL 1</v>
      </c>
      <c r="G13" s="100" t="str">
        <f>IFERROR(__xludf.DUMMYFUNCTION("""COMPUTED_VALUE"""),"CEMEI LIGIA ARAUJO DE OLIVEIRA")</f>
        <v>CEMEI LIGIA ARAUJO DE OLIVEIRA</v>
      </c>
      <c r="H13" s="100" t="str">
        <f>IFERROR(__xludf.DUMMYFUNCTION("""COMPUTED_VALUE"""),"REGIONAL 6")</f>
        <v>REGIONAL 6</v>
      </c>
      <c r="I13" s="100"/>
      <c r="J13" s="100"/>
      <c r="K13" s="100"/>
      <c r="L13" s="100"/>
      <c r="M13" s="100"/>
      <c r="N13" s="100"/>
      <c r="O13" s="100"/>
      <c r="P13" s="100"/>
      <c r="Q13" s="100"/>
      <c r="R13" s="100"/>
      <c r="S13" s="100"/>
      <c r="T13" s="100"/>
      <c r="U13" s="100"/>
      <c r="V13" s="100"/>
      <c r="W13" s="100"/>
      <c r="X13" s="100"/>
      <c r="Y13" s="100"/>
      <c r="Z13" s="100"/>
    </row>
    <row r="14" ht="26" spans="1:26">
      <c r="A14" s="100" t="str">
        <f>IFERROR(__xludf.DUMMYFUNCTION("""COMPUTED_VALUE"""),"23/03/2026 19:01:28")</f>
        <v>23/03/2026 19:01:28</v>
      </c>
      <c r="B14" s="101" t="str">
        <f>IFERROR(__xludf.DUMMYFUNCTION("""COMPUTED_VALUE"""),"2")</f>
        <v>2</v>
      </c>
      <c r="C14" s="100" t="str">
        <f>IFERROR(__xludf.DUMMYFUNCTION("""COMPUTED_VALUE"""),"LIAN SALAZAR SERNA")</f>
        <v>LIAN SALAZAR SERNA</v>
      </c>
      <c r="D14" s="100" t="str">
        <f>IFERROR(__xludf.DUMMYFUNCTION("""COMPUTED_VALUE"""),"15/05/2024")</f>
        <v>15/05/2024</v>
      </c>
      <c r="E14" s="100" t="str">
        <f>IFERROR(__xludf.DUMMYFUNCTION("""COMPUTED_VALUE"""),"003.732.314-82")</f>
        <v>003.732.314-82</v>
      </c>
      <c r="F14" s="100" t="str">
        <f>IFERROR(__xludf.DUMMYFUNCTION("""COMPUTED_VALUE"""),"INFANTIL 1")</f>
        <v>INFANTIL 1</v>
      </c>
      <c r="G14" s="100" t="str">
        <f>IFERROR(__xludf.DUMMYFUNCTION("""COMPUTED_VALUE"""),"CEMEI LIGIA ARAUJO DE OLIVEIRA")</f>
        <v>CEMEI LIGIA ARAUJO DE OLIVEIRA</v>
      </c>
      <c r="H14" s="100" t="str">
        <f>IFERROR(__xludf.DUMMYFUNCTION("""COMPUTED_VALUE"""),"REGIONAL 6")</f>
        <v>REGIONAL 6</v>
      </c>
      <c r="I14" s="100"/>
      <c r="J14" s="100"/>
      <c r="K14" s="100"/>
      <c r="L14" s="100"/>
      <c r="M14" s="100"/>
      <c r="N14" s="100"/>
      <c r="O14" s="100"/>
      <c r="P14" s="100"/>
      <c r="Q14" s="100"/>
      <c r="R14" s="100"/>
      <c r="S14" s="100"/>
      <c r="T14" s="100"/>
      <c r="U14" s="100"/>
      <c r="V14" s="100"/>
      <c r="W14" s="100"/>
      <c r="X14" s="100"/>
      <c r="Y14" s="100"/>
      <c r="Z14" s="100"/>
    </row>
    <row r="15" ht="26" spans="1:26">
      <c r="A15" s="100" t="str">
        <f>IFERROR(__xludf.DUMMYFUNCTION("""COMPUTED_VALUE"""),"28/01/2026 08:07:40")</f>
        <v>28/01/2026 08:07:40</v>
      </c>
      <c r="B15" s="101" t="str">
        <f>IFERROR(__xludf.DUMMYFUNCTION("""COMPUTED_VALUE"""),"1")</f>
        <v>1</v>
      </c>
      <c r="C15" s="100" t="str">
        <f>IFERROR(__xludf.DUMMYFUNCTION("""COMPUTED_VALUE"""),"ÍCARO MIGUEL ESPÍNDOLA DA SILVA")</f>
        <v>ÍCARO MIGUEL ESPÍNDOLA DA SILVA</v>
      </c>
      <c r="D15" s="100" t="str">
        <f>IFERROR(__xludf.DUMMYFUNCTION("""COMPUTED_VALUE"""),"19/08/2023")</f>
        <v>19/08/2023</v>
      </c>
      <c r="E15" s="100" t="str">
        <f>IFERROR(__xludf.DUMMYFUNCTION("""COMPUTED_VALUE"""),"001.566.454-67")</f>
        <v>001.566.454-67</v>
      </c>
      <c r="F15" s="100" t="str">
        <f>IFERROR(__xludf.DUMMYFUNCTION("""COMPUTED_VALUE"""),"INFANTIL 2")</f>
        <v>INFANTIL 2</v>
      </c>
      <c r="G15" s="100" t="str">
        <f>IFERROR(__xludf.DUMMYFUNCTION("""COMPUTED_VALUE"""),"CEMEI LIGIA ARAUJO DE OLIVEIRA")</f>
        <v>CEMEI LIGIA ARAUJO DE OLIVEIRA</v>
      </c>
      <c r="H15" s="100" t="str">
        <f>IFERROR(__xludf.DUMMYFUNCTION("""COMPUTED_VALUE"""),"REGIONAL 6")</f>
        <v>REGIONAL 6</v>
      </c>
      <c r="I15" s="100"/>
      <c r="J15" s="100"/>
      <c r="K15" s="100"/>
      <c r="L15" s="100"/>
      <c r="M15" s="100"/>
      <c r="N15" s="100"/>
      <c r="O15" s="100"/>
      <c r="P15" s="100"/>
      <c r="Q15" s="100"/>
      <c r="R15" s="100"/>
      <c r="S15" s="100"/>
      <c r="T15" s="100"/>
      <c r="U15" s="100"/>
      <c r="V15" s="100"/>
      <c r="W15" s="100"/>
      <c r="X15" s="100"/>
      <c r="Y15" s="100"/>
      <c r="Z15" s="100"/>
    </row>
    <row r="16" ht="26" spans="1:26">
      <c r="A16" s="100" t="str">
        <f>IFERROR(__xludf.DUMMYFUNCTION("""COMPUTED_VALUE"""),"29/01/2026 10:35:38")</f>
        <v>29/01/2026 10:35:38</v>
      </c>
      <c r="B16" s="101" t="str">
        <f>IFERROR(__xludf.DUMMYFUNCTION("""COMPUTED_VALUE"""),"2")</f>
        <v>2</v>
      </c>
      <c r="C16" s="100" t="str">
        <f>IFERROR(__xludf.DUMMYFUNCTION("""COMPUTED_VALUE"""),"OLIVER HEITOR LINS LIRA")</f>
        <v>OLIVER HEITOR LINS LIRA</v>
      </c>
      <c r="D16" s="100" t="str">
        <f>IFERROR(__xludf.DUMMYFUNCTION("""COMPUTED_VALUE"""),"27/05/2023")</f>
        <v>27/05/2023</v>
      </c>
      <c r="E16" s="100" t="str">
        <f>IFERROR(__xludf.DUMMYFUNCTION("""COMPUTED_VALUE"""),"185.479.534-18")</f>
        <v>185.479.534-18</v>
      </c>
      <c r="F16" s="100" t="str">
        <f>IFERROR(__xludf.DUMMYFUNCTION("""COMPUTED_VALUE"""),"INFANTIL 2")</f>
        <v>INFANTIL 2</v>
      </c>
      <c r="G16" s="100" t="str">
        <f>IFERROR(__xludf.DUMMYFUNCTION("""COMPUTED_VALUE"""),"CEMEI LIGIA ARAUJO DE OLIVEIRA")</f>
        <v>CEMEI LIGIA ARAUJO DE OLIVEIRA</v>
      </c>
      <c r="H16" s="100" t="str">
        <f>IFERROR(__xludf.DUMMYFUNCTION("""COMPUTED_VALUE"""),"REGIONAL 6")</f>
        <v>REGIONAL 6</v>
      </c>
      <c r="I16" s="100"/>
      <c r="J16" s="100"/>
      <c r="K16" s="100"/>
      <c r="L16" s="100"/>
      <c r="M16" s="100"/>
      <c r="N16" s="100"/>
      <c r="O16" s="100"/>
      <c r="P16" s="100"/>
      <c r="Q16" s="100"/>
      <c r="R16" s="100"/>
      <c r="S16" s="100"/>
      <c r="T16" s="100"/>
      <c r="U16" s="100"/>
      <c r="V16" s="100"/>
      <c r="W16" s="100"/>
      <c r="X16" s="100"/>
      <c r="Y16" s="100"/>
      <c r="Z16" s="100"/>
    </row>
    <row r="17" ht="26" spans="1:26">
      <c r="A17" s="100" t="str">
        <f>IFERROR(__xludf.DUMMYFUNCTION("""COMPUTED_VALUE"""),"11/03/2026 10:19:05")</f>
        <v>11/03/2026 10:19:05</v>
      </c>
      <c r="B17" s="101" t="str">
        <f>IFERROR(__xludf.DUMMYFUNCTION("""COMPUTED_VALUE"""),"3")</f>
        <v>3</v>
      </c>
      <c r="C17" s="100" t="str">
        <f>IFERROR(__xludf.DUMMYFUNCTION("""COMPUTED_VALUE"""),"ALISSON GABRIEL DOS SANTOS SILVA")</f>
        <v>ALISSON GABRIEL DOS SANTOS SILVA</v>
      </c>
      <c r="D17" s="100" t="str">
        <f>IFERROR(__xludf.DUMMYFUNCTION("""COMPUTED_VALUE"""),"30/12/2023")</f>
        <v>30/12/2023</v>
      </c>
      <c r="E17" s="100" t="str">
        <f>IFERROR(__xludf.DUMMYFUNCTION("""COMPUTED_VALUE"""),"001.878.044-00")</f>
        <v>001.878.044-00</v>
      </c>
      <c r="F17" s="100" t="str">
        <f>IFERROR(__xludf.DUMMYFUNCTION("""COMPUTED_VALUE"""),"INFANTIL 2")</f>
        <v>INFANTIL 2</v>
      </c>
      <c r="G17" s="100" t="str">
        <f>IFERROR(__xludf.DUMMYFUNCTION("""COMPUTED_VALUE"""),"CEMEI LIGIA ARAUJO DE OLIVEIRA")</f>
        <v>CEMEI LIGIA ARAUJO DE OLIVEIRA</v>
      </c>
      <c r="H17" s="100" t="str">
        <f>IFERROR(__xludf.DUMMYFUNCTION("""COMPUTED_VALUE"""),"REGIONAL 6")</f>
        <v>REGIONAL 6</v>
      </c>
      <c r="I17" s="100"/>
      <c r="J17" s="100"/>
      <c r="K17" s="100"/>
      <c r="L17" s="100"/>
      <c r="M17" s="100"/>
      <c r="N17" s="100"/>
      <c r="O17" s="100"/>
      <c r="P17" s="100"/>
      <c r="Q17" s="100"/>
      <c r="R17" s="100"/>
      <c r="S17" s="100"/>
      <c r="T17" s="100"/>
      <c r="U17" s="100"/>
      <c r="V17" s="100"/>
      <c r="W17" s="100"/>
      <c r="X17" s="100"/>
      <c r="Y17" s="100"/>
      <c r="Z17" s="100"/>
    </row>
    <row r="18" ht="26" spans="1:26">
      <c r="A18" s="100" t="str">
        <f>IFERROR(__xludf.DUMMYFUNCTION("""COMPUTED_VALUE"""),"20/04/2026 12:53:45")</f>
        <v>20/04/2026 12:53:45</v>
      </c>
      <c r="B18" s="101" t="str">
        <f>IFERROR(__xludf.DUMMYFUNCTION("""COMPUTED_VALUE"""),"4")</f>
        <v>4</v>
      </c>
      <c r="C18" s="100" t="str">
        <f>IFERROR(__xludf.DUMMYFUNCTION("""COMPUTED_VALUE"""),"ISABELA MARIA DIAS DA SILVA")</f>
        <v>ISABELA MARIA DIAS DA SILVA</v>
      </c>
      <c r="D18" s="100" t="str">
        <f>IFERROR(__xludf.DUMMYFUNCTION("""COMPUTED_VALUE"""),"02/05/2023")</f>
        <v>02/05/2023</v>
      </c>
      <c r="E18" s="100" t="str">
        <f>IFERROR(__xludf.DUMMYFUNCTION("""COMPUTED_VALUE"""),"166.511.419-37")</f>
        <v>166.511.419-37</v>
      </c>
      <c r="F18" s="100" t="str">
        <f>IFERROR(__xludf.DUMMYFUNCTION("""COMPUTED_VALUE"""),"INFANTIL 2")</f>
        <v>INFANTIL 2</v>
      </c>
      <c r="G18" s="100" t="str">
        <f>IFERROR(__xludf.DUMMYFUNCTION("""COMPUTED_VALUE"""),"CEMEI LIGIA ARAUJO DE OLIVEIRA")</f>
        <v>CEMEI LIGIA ARAUJO DE OLIVEIRA</v>
      </c>
      <c r="H18" s="100" t="str">
        <f>IFERROR(__xludf.DUMMYFUNCTION("""COMPUTED_VALUE"""),"REGIONAL 6")</f>
        <v>REGIONAL 6</v>
      </c>
      <c r="I18" s="100"/>
      <c r="J18" s="100"/>
      <c r="K18" s="100"/>
      <c r="L18" s="100"/>
      <c r="M18" s="100"/>
      <c r="N18" s="100"/>
      <c r="O18" s="100"/>
      <c r="P18" s="100"/>
      <c r="Q18" s="100"/>
      <c r="R18" s="100"/>
      <c r="S18" s="100"/>
      <c r="T18" s="100"/>
      <c r="U18" s="100"/>
      <c r="V18" s="100"/>
      <c r="W18" s="100"/>
      <c r="X18" s="100"/>
      <c r="Y18" s="100"/>
      <c r="Z18" s="100"/>
    </row>
    <row r="19" ht="26" spans="1:26">
      <c r="A19" s="100" t="str">
        <f>IFERROR(__xludf.DUMMYFUNCTION("""COMPUTED_VALUE"""),"08/05/2026 07:30:21")</f>
        <v>08/05/2026 07:30:21</v>
      </c>
      <c r="B19" s="101" t="str">
        <f>IFERROR(__xludf.DUMMYFUNCTION("""COMPUTED_VALUE"""),"5")</f>
        <v>5</v>
      </c>
      <c r="C19" s="100" t="str">
        <f>IFERROR(__xludf.DUMMYFUNCTION("""COMPUTED_VALUE"""),"HEITOR GABRIEL MARQUES DOS SANTOS")</f>
        <v>HEITOR GABRIEL MARQUES DOS SANTOS</v>
      </c>
      <c r="D19" s="100" t="str">
        <f>IFERROR(__xludf.DUMMYFUNCTION("""COMPUTED_VALUE"""),"20/05/2023")</f>
        <v>20/05/2023</v>
      </c>
      <c r="E19" s="100" t="str">
        <f>IFERROR(__xludf.DUMMYFUNCTION("""COMPUTED_VALUE"""),"185.759.414-29")</f>
        <v>185.759.414-29</v>
      </c>
      <c r="F19" s="100" t="str">
        <f>IFERROR(__xludf.DUMMYFUNCTION("""COMPUTED_VALUE"""),"INFANTIL 2")</f>
        <v>INFANTIL 2</v>
      </c>
      <c r="G19" s="100" t="str">
        <f>IFERROR(__xludf.DUMMYFUNCTION("""COMPUTED_VALUE"""),"CEMEI LIGIA ARAUJO DE OLIVEIRA")</f>
        <v>CEMEI LIGIA ARAUJO DE OLIVEIRA</v>
      </c>
      <c r="H19" s="100" t="str">
        <f>IFERROR(__xludf.DUMMYFUNCTION("""COMPUTED_VALUE"""),"REGIONAL 6")</f>
        <v>REGIONAL 6</v>
      </c>
      <c r="I19" s="100"/>
      <c r="J19" s="100"/>
      <c r="K19" s="100"/>
      <c r="L19" s="100"/>
      <c r="M19" s="100"/>
      <c r="N19" s="100"/>
      <c r="O19" s="100"/>
      <c r="P19" s="100"/>
      <c r="Q19" s="100"/>
      <c r="R19" s="100"/>
      <c r="S19" s="100"/>
      <c r="T19" s="100"/>
      <c r="U19" s="100"/>
      <c r="V19" s="100"/>
      <c r="W19" s="100"/>
      <c r="X19" s="100"/>
      <c r="Y19" s="100"/>
      <c r="Z19" s="100"/>
    </row>
    <row r="20" ht="26" spans="1:26">
      <c r="A20" s="100" t="str">
        <f>IFERROR(__xludf.DUMMYFUNCTION("""COMPUTED_VALUE"""),"03/02/2026 14:12:28")</f>
        <v>03/02/2026 14:12:28</v>
      </c>
      <c r="B20" s="101" t="str">
        <f>IFERROR(__xludf.DUMMYFUNCTION("""COMPUTED_VALUE"""),"1")</f>
        <v>1</v>
      </c>
      <c r="C20" s="100" t="str">
        <f>IFERROR(__xludf.DUMMYFUNCTION("""COMPUTED_VALUE"""),"AYLLA FERREIRA DA SILVA")</f>
        <v>AYLLA FERREIRA DA SILVA</v>
      </c>
      <c r="D20" s="100" t="str">
        <f>IFERROR(__xludf.DUMMYFUNCTION("""COMPUTED_VALUE"""),"22/11/2022")</f>
        <v>22/11/2022</v>
      </c>
      <c r="E20" s="100" t="str">
        <f>IFERROR(__xludf.DUMMYFUNCTION("""COMPUTED_VALUE"""),"183.532.494-05")</f>
        <v>183.532.494-05</v>
      </c>
      <c r="F20" s="100" t="str">
        <f>IFERROR(__xludf.DUMMYFUNCTION("""COMPUTED_VALUE"""),"INFANTIL 3")</f>
        <v>INFANTIL 3</v>
      </c>
      <c r="G20" s="100" t="str">
        <f>IFERROR(__xludf.DUMMYFUNCTION("""COMPUTED_VALUE"""),"CEMEI LIGIA ARAUJO DE OLIVEIRA")</f>
        <v>CEMEI LIGIA ARAUJO DE OLIVEIRA</v>
      </c>
      <c r="H20" s="100" t="str">
        <f>IFERROR(__xludf.DUMMYFUNCTION("""COMPUTED_VALUE"""),"REGIONAL 6")</f>
        <v>REGIONAL 6</v>
      </c>
      <c r="I20" s="100"/>
      <c r="J20" s="100"/>
      <c r="K20" s="100"/>
      <c r="L20" s="100"/>
      <c r="M20" s="100"/>
      <c r="N20" s="100"/>
      <c r="O20" s="100"/>
      <c r="P20" s="100"/>
      <c r="Q20" s="100"/>
      <c r="R20" s="100"/>
      <c r="S20" s="100"/>
      <c r="T20" s="100"/>
      <c r="U20" s="100"/>
      <c r="V20" s="100"/>
      <c r="W20" s="100"/>
      <c r="X20" s="100"/>
      <c r="Y20" s="100"/>
      <c r="Z20" s="100"/>
    </row>
    <row r="21" ht="15.75" customHeight="1" spans="1:26">
      <c r="A21" s="100" t="str">
        <f>IFERROR(__xludf.DUMMYFUNCTION("""COMPUTED_VALUE"""),"03/02/2026 14:18:57")</f>
        <v>03/02/2026 14:18:57</v>
      </c>
      <c r="B21" s="101" t="str">
        <f>IFERROR(__xludf.DUMMYFUNCTION("""COMPUTED_VALUE"""),"2")</f>
        <v>2</v>
      </c>
      <c r="C21" s="100" t="str">
        <f>IFERROR(__xludf.DUMMYFUNCTION("""COMPUTED_VALUE"""),"ALYCIA FERREIRA DA SILVA")</f>
        <v>ALYCIA FERREIRA DA SILVA</v>
      </c>
      <c r="D21" s="100" t="str">
        <f>IFERROR(__xludf.DUMMYFUNCTION("""COMPUTED_VALUE"""),"22/11/2022")</f>
        <v>22/11/2022</v>
      </c>
      <c r="E21" s="100" t="str">
        <f>IFERROR(__xludf.DUMMYFUNCTION("""COMPUTED_VALUE"""),"183.532.504-11")</f>
        <v>183.532.504-11</v>
      </c>
      <c r="F21" s="100" t="str">
        <f>IFERROR(__xludf.DUMMYFUNCTION("""COMPUTED_VALUE"""),"INFANTIL 3")</f>
        <v>INFANTIL 3</v>
      </c>
      <c r="G21" s="100" t="str">
        <f>IFERROR(__xludf.DUMMYFUNCTION("""COMPUTED_VALUE"""),"CEMEI LIGIA ARAUJO DE OLIVEIRA")</f>
        <v>CEMEI LIGIA ARAUJO DE OLIVEIRA</v>
      </c>
      <c r="H21" s="100" t="str">
        <f>IFERROR(__xludf.DUMMYFUNCTION("""COMPUTED_VALUE"""),"REGIONAL 6")</f>
        <v>REGIONAL 6</v>
      </c>
      <c r="I21" s="100"/>
      <c r="J21" s="100"/>
      <c r="K21" s="100"/>
      <c r="L21" s="100"/>
      <c r="M21" s="100"/>
      <c r="N21" s="100"/>
      <c r="O21" s="100"/>
      <c r="P21" s="100"/>
      <c r="Q21" s="100"/>
      <c r="R21" s="100"/>
      <c r="S21" s="100"/>
      <c r="T21" s="100"/>
      <c r="U21" s="100"/>
      <c r="V21" s="100"/>
      <c r="W21" s="100"/>
      <c r="X21" s="100"/>
      <c r="Y21" s="100"/>
      <c r="Z21" s="100"/>
    </row>
    <row r="22" ht="15.75" customHeight="1" spans="1:26">
      <c r="A22" s="100" t="str">
        <f>IFERROR(__xludf.DUMMYFUNCTION("""COMPUTED_VALUE"""),"23/02/2026 20:39:24")</f>
        <v>23/02/2026 20:39:24</v>
      </c>
      <c r="B22" s="101" t="str">
        <f>IFERROR(__xludf.DUMMYFUNCTION("""COMPUTED_VALUE"""),"3")</f>
        <v>3</v>
      </c>
      <c r="C22" s="100" t="str">
        <f>IFERROR(__xludf.DUMMYFUNCTION("""COMPUTED_VALUE"""),"ABRAÃO EMANOEL PINHEIRO DA SILVA")</f>
        <v>ABRAÃO EMANOEL PINHEIRO DA SILVA</v>
      </c>
      <c r="D22" s="100" t="str">
        <f>IFERROR(__xludf.DUMMYFUNCTION("""COMPUTED_VALUE"""),"31/08/2022")</f>
        <v>31/08/2022</v>
      </c>
      <c r="E22" s="100" t="str">
        <f>IFERROR(__xludf.DUMMYFUNCTION("""COMPUTED_VALUE"""),"182.714.394-05")</f>
        <v>182.714.394-05</v>
      </c>
      <c r="F22" s="100" t="str">
        <f>IFERROR(__xludf.DUMMYFUNCTION("""COMPUTED_VALUE"""),"INFANTIL 3")</f>
        <v>INFANTIL 3</v>
      </c>
      <c r="G22" s="100" t="str">
        <f>IFERROR(__xludf.DUMMYFUNCTION("""COMPUTED_VALUE"""),"CEMEI LIGIA ARAUJO DE OLIVEIRA")</f>
        <v>CEMEI LIGIA ARAUJO DE OLIVEIRA</v>
      </c>
      <c r="H22" s="100" t="str">
        <f>IFERROR(__xludf.DUMMYFUNCTION("""COMPUTED_VALUE"""),"REGIONAL 6")</f>
        <v>REGIONAL 6</v>
      </c>
      <c r="I22" s="100"/>
      <c r="J22" s="100"/>
      <c r="K22" s="100"/>
      <c r="L22" s="100"/>
      <c r="M22" s="100"/>
      <c r="N22" s="100"/>
      <c r="O22" s="100"/>
      <c r="P22" s="100"/>
      <c r="Q22" s="100"/>
      <c r="R22" s="100"/>
      <c r="S22" s="100"/>
      <c r="T22" s="100"/>
      <c r="U22" s="100"/>
      <c r="V22" s="100"/>
      <c r="W22" s="100"/>
      <c r="X22" s="100"/>
      <c r="Y22" s="100"/>
      <c r="Z22" s="100"/>
    </row>
    <row r="23" ht="15.75" customHeight="1" spans="1:26">
      <c r="A23" s="100" t="str">
        <f>IFERROR(__xludf.DUMMYFUNCTION("""COMPUTED_VALUE"""),"19/03/2026 08:28:18")</f>
        <v>19/03/2026 08:28:18</v>
      </c>
      <c r="B23" s="101" t="str">
        <f>IFERROR(__xludf.DUMMYFUNCTION("""COMPUTED_VALUE"""),"1")</f>
        <v>1</v>
      </c>
      <c r="C23" s="100" t="str">
        <f>IFERROR(__xludf.DUMMYFUNCTION("""COMPUTED_VALUE"""),"MARIA CLARA DE LIMA")</f>
        <v>MARIA CLARA DE LIMA</v>
      </c>
      <c r="D23" s="100" t="str">
        <f>IFERROR(__xludf.DUMMYFUNCTION("""COMPUTED_VALUE"""),"16/12/2024")</f>
        <v>16/12/2024</v>
      </c>
      <c r="E23" s="100" t="str">
        <f>IFERROR(__xludf.DUMMYFUNCTION("""COMPUTED_VALUE"""),"004.995.084-32")</f>
        <v>004.995.084-32</v>
      </c>
      <c r="F23" s="100" t="str">
        <f>IFERROR(__xludf.DUMMYFUNCTION("""COMPUTED_VALUE"""),"INFANTIL 1")</f>
        <v>INFANTIL 1</v>
      </c>
      <c r="G23" s="100" t="str">
        <f>IFERROR(__xludf.DUMMYFUNCTION("""COMPUTED_VALUE"""),"CEMEI PROFª MARIA LUZIA RIO LIMA")</f>
        <v>CEMEI PROFª MARIA LUZIA RIO LIMA</v>
      </c>
      <c r="H23" s="100" t="str">
        <f>IFERROR(__xludf.DUMMYFUNCTION("""COMPUTED_VALUE"""),"REGIONAL 5")</f>
        <v>REGIONAL 5</v>
      </c>
      <c r="I23" s="100"/>
      <c r="J23" s="100"/>
      <c r="K23" s="100"/>
      <c r="L23" s="100"/>
      <c r="M23" s="100"/>
      <c r="N23" s="100"/>
      <c r="O23" s="100"/>
      <c r="P23" s="100"/>
      <c r="Q23" s="100"/>
      <c r="R23" s="100"/>
      <c r="S23" s="100"/>
      <c r="T23" s="100"/>
      <c r="U23" s="100"/>
      <c r="V23" s="100"/>
      <c r="W23" s="100"/>
      <c r="X23" s="100"/>
      <c r="Y23" s="100"/>
      <c r="Z23" s="100"/>
    </row>
    <row r="24" ht="15.75" customHeight="1" spans="1:26">
      <c r="A24" s="100" t="str">
        <f>IFERROR(__xludf.DUMMYFUNCTION("""COMPUTED_VALUE"""),"19/03/2026 08:46:18")</f>
        <v>19/03/2026 08:46:18</v>
      </c>
      <c r="B24" s="101" t="str">
        <f>IFERROR(__xludf.DUMMYFUNCTION("""COMPUTED_VALUE"""),"2")</f>
        <v>2</v>
      </c>
      <c r="C24" s="100" t="str">
        <f>IFERROR(__xludf.DUMMYFUNCTION("""COMPUTED_VALUE"""),"MARIA FLOR DE LIMA")</f>
        <v>MARIA FLOR DE LIMA</v>
      </c>
      <c r="D24" s="100" t="str">
        <f>IFERROR(__xludf.DUMMYFUNCTION("""COMPUTED_VALUE"""),"16/12/2024")</f>
        <v>16/12/2024</v>
      </c>
      <c r="E24" s="100" t="str">
        <f>IFERROR(__xludf.DUMMYFUNCTION("""COMPUTED_VALUE"""),"004.995.534-97")</f>
        <v>004.995.534-97</v>
      </c>
      <c r="F24" s="100" t="str">
        <f>IFERROR(__xludf.DUMMYFUNCTION("""COMPUTED_VALUE"""),"INFANTIL 1")</f>
        <v>INFANTIL 1</v>
      </c>
      <c r="G24" s="100" t="str">
        <f>IFERROR(__xludf.DUMMYFUNCTION("""COMPUTED_VALUE"""),"CEMEI PROFª MARIA LUZIA RIO LIMA")</f>
        <v>CEMEI PROFª MARIA LUZIA RIO LIMA</v>
      </c>
      <c r="H24" s="100" t="str">
        <f>IFERROR(__xludf.DUMMYFUNCTION("""COMPUTED_VALUE"""),"REGIONAL 5")</f>
        <v>REGIONAL 5</v>
      </c>
      <c r="I24" s="100"/>
      <c r="J24" s="100"/>
      <c r="K24" s="100"/>
      <c r="L24" s="100"/>
      <c r="M24" s="100"/>
      <c r="N24" s="100"/>
      <c r="O24" s="100"/>
      <c r="P24" s="100"/>
      <c r="Q24" s="100"/>
      <c r="R24" s="100"/>
      <c r="S24" s="100"/>
      <c r="T24" s="100"/>
      <c r="U24" s="100"/>
      <c r="V24" s="100"/>
      <c r="W24" s="100"/>
      <c r="X24" s="100"/>
      <c r="Y24" s="100"/>
      <c r="Z24" s="100"/>
    </row>
    <row r="25" ht="15.75" customHeight="1" spans="1:26">
      <c r="A25" s="100" t="str">
        <f>IFERROR(__xludf.DUMMYFUNCTION("""COMPUTED_VALUE"""),"06/05/2026 15:38:45")</f>
        <v>06/05/2026 15:38:45</v>
      </c>
      <c r="B25" s="101" t="str">
        <f>IFERROR(__xludf.DUMMYFUNCTION("""COMPUTED_VALUE"""),"3")</f>
        <v>3</v>
      </c>
      <c r="C25" s="100" t="str">
        <f>IFERROR(__xludf.DUMMYFUNCTION("""COMPUTED_VALUE"""),"EMANUEL LUCAS FAUSTINO DA SILVA")</f>
        <v>EMANUEL LUCAS FAUSTINO DA SILVA</v>
      </c>
      <c r="D25" s="100" t="str">
        <f>IFERROR(__xludf.DUMMYFUNCTION("""COMPUTED_VALUE"""),"05/09/2024")</f>
        <v>05/09/2024</v>
      </c>
      <c r="E25" s="100" t="str">
        <f>IFERROR(__xludf.DUMMYFUNCTION("""COMPUTED_VALUE"""),"118.065.824-81")</f>
        <v>118.065.824-81</v>
      </c>
      <c r="F25" s="100" t="str">
        <f>IFERROR(__xludf.DUMMYFUNCTION("""COMPUTED_VALUE"""),"INFANTIL 1")</f>
        <v>INFANTIL 1</v>
      </c>
      <c r="G25" s="100" t="str">
        <f>IFERROR(__xludf.DUMMYFUNCTION("""COMPUTED_VALUE"""),"CEMEI PROFª MARIA LUZIA RIO LIMA")</f>
        <v>CEMEI PROFª MARIA LUZIA RIO LIMA</v>
      </c>
      <c r="H25" s="100" t="str">
        <f>IFERROR(__xludf.DUMMYFUNCTION("""COMPUTED_VALUE"""),"REGIONAL 5")</f>
        <v>REGIONAL 5</v>
      </c>
      <c r="I25" s="100"/>
      <c r="J25" s="100"/>
      <c r="K25" s="100"/>
      <c r="L25" s="100"/>
      <c r="M25" s="100"/>
      <c r="N25" s="100"/>
      <c r="O25" s="100"/>
      <c r="P25" s="100"/>
      <c r="Q25" s="100"/>
      <c r="R25" s="100"/>
      <c r="S25" s="100"/>
      <c r="T25" s="100"/>
      <c r="U25" s="100"/>
      <c r="V25" s="100"/>
      <c r="W25" s="100"/>
      <c r="X25" s="100"/>
      <c r="Y25" s="100"/>
      <c r="Z25" s="100"/>
    </row>
    <row r="26" ht="15.75" customHeight="1" spans="1:26">
      <c r="A26" s="100" t="str">
        <f>IFERROR(__xludf.DUMMYFUNCTION("""COMPUTED_VALUE"""),"28/01/2026 16:24:17")</f>
        <v>28/01/2026 16:24:17</v>
      </c>
      <c r="B26" s="101" t="str">
        <f>IFERROR(__xludf.DUMMYFUNCTION("""COMPUTED_VALUE"""),"1")</f>
        <v>1</v>
      </c>
      <c r="C26" s="100" t="str">
        <f>IFERROR(__xludf.DUMMYFUNCTION("""COMPUTED_VALUE"""),"DAVID APOLLO DA SILVA SANTOS")</f>
        <v>DAVID APOLLO DA SILVA SANTOS</v>
      </c>
      <c r="D26" s="100" t="str">
        <f>IFERROR(__xludf.DUMMYFUNCTION("""COMPUTED_VALUE"""),"31/07/2024")</f>
        <v>31/07/2024</v>
      </c>
      <c r="E26" s="100" t="str">
        <f>IFERROR(__xludf.DUMMYFUNCTION("""COMPUTED_VALUE"""),"003.716.684-09")</f>
        <v>003.716.684-09</v>
      </c>
      <c r="F26" s="100" t="str">
        <f>IFERROR(__xludf.DUMMYFUNCTION("""COMPUTED_VALUE"""),"INFANTIL 1")</f>
        <v>INFANTIL 1</v>
      </c>
      <c r="G26" s="100" t="str">
        <f>IFERROR(__xludf.DUMMYFUNCTION("""COMPUTED_VALUE"""),"CEMEI PROFESSORA CIBELE DE ANDRADE MENDES DE AZEVEDO")</f>
        <v>CEMEI PROFESSORA CIBELE DE ANDRADE MENDES DE AZEVEDO</v>
      </c>
      <c r="H26" s="100" t="str">
        <f>IFERROR(__xludf.DUMMYFUNCTION("""COMPUTED_VALUE"""),"REGIONAL 7")</f>
        <v>REGIONAL 7</v>
      </c>
      <c r="I26" s="100"/>
      <c r="J26" s="100"/>
      <c r="K26" s="100"/>
      <c r="L26" s="100"/>
      <c r="M26" s="100"/>
      <c r="N26" s="100"/>
      <c r="O26" s="100"/>
      <c r="P26" s="100"/>
      <c r="Q26" s="100"/>
      <c r="R26" s="100"/>
      <c r="S26" s="100"/>
      <c r="T26" s="100"/>
      <c r="U26" s="100"/>
      <c r="V26" s="100"/>
      <c r="W26" s="100"/>
      <c r="X26" s="100"/>
      <c r="Y26" s="100"/>
      <c r="Z26" s="100"/>
    </row>
    <row r="27" ht="15.75" customHeight="1" spans="1:26">
      <c r="A27" s="100" t="str">
        <f>IFERROR(__xludf.DUMMYFUNCTION("""COMPUTED_VALUE"""),"02/02/2026 09:13:57")</f>
        <v>02/02/2026 09:13:57</v>
      </c>
      <c r="B27" s="101" t="str">
        <f>IFERROR(__xludf.DUMMYFUNCTION("""COMPUTED_VALUE"""),"2")</f>
        <v>2</v>
      </c>
      <c r="C27" s="100" t="str">
        <f>IFERROR(__xludf.DUMMYFUNCTION("""COMPUTED_VALUE"""),"ÍSIS POLYANA SOARES RAMOS")</f>
        <v>ÍSIS POLYANA SOARES RAMOS</v>
      </c>
      <c r="D27" s="100" t="str">
        <f>IFERROR(__xludf.DUMMYFUNCTION("""COMPUTED_VALUE"""),"17/01/2026")</f>
        <v>17/01/2026</v>
      </c>
      <c r="E27" s="100" t="str">
        <f>IFERROR(__xludf.DUMMYFUNCTION("""COMPUTED_VALUE"""),"041.104.474-53")</f>
        <v>041.104.474-53</v>
      </c>
      <c r="F27" s="100" t="str">
        <f>IFERROR(__xludf.DUMMYFUNCTION("""COMPUTED_VALUE"""),"INFANTIL 1")</f>
        <v>INFANTIL 1</v>
      </c>
      <c r="G27" s="100" t="str">
        <f>IFERROR(__xludf.DUMMYFUNCTION("""COMPUTED_VALUE"""),"CEMEI PROFESSORA CIBELE DE ANDRADE MENDES DE AZEVEDO")</f>
        <v>CEMEI PROFESSORA CIBELE DE ANDRADE MENDES DE AZEVEDO</v>
      </c>
      <c r="H27" s="100" t="str">
        <f>IFERROR(__xludf.DUMMYFUNCTION("""COMPUTED_VALUE"""),"REGIONAL 7")</f>
        <v>REGIONAL 7</v>
      </c>
      <c r="I27" s="100"/>
      <c r="J27" s="100"/>
      <c r="K27" s="100"/>
      <c r="L27" s="100"/>
      <c r="M27" s="100"/>
      <c r="N27" s="100"/>
      <c r="O27" s="100"/>
      <c r="P27" s="100"/>
      <c r="Q27" s="100"/>
      <c r="R27" s="100"/>
      <c r="S27" s="100"/>
      <c r="T27" s="100"/>
      <c r="U27" s="100"/>
      <c r="V27" s="100"/>
      <c r="W27" s="100"/>
      <c r="X27" s="100"/>
      <c r="Y27" s="100"/>
      <c r="Z27" s="100"/>
    </row>
    <row r="28" ht="15.75" customHeight="1" spans="1:26">
      <c r="A28" s="100" t="str">
        <f>IFERROR(__xludf.DUMMYFUNCTION("""COMPUTED_VALUE"""),"04/02/2026 08:52:54")</f>
        <v>04/02/2026 08:52:54</v>
      </c>
      <c r="B28" s="101" t="str">
        <f>IFERROR(__xludf.DUMMYFUNCTION("""COMPUTED_VALUE"""),"3")</f>
        <v>3</v>
      </c>
      <c r="C28" s="100" t="str">
        <f>IFERROR(__xludf.DUMMYFUNCTION("""COMPUTED_VALUE"""),"RENAN JOSÉ DA SILVA")</f>
        <v>RENAN JOSÉ DA SILVA</v>
      </c>
      <c r="D28" s="100" t="str">
        <f>IFERROR(__xludf.DUMMYFUNCTION("""COMPUTED_VALUE"""),"18/04/2024")</f>
        <v>18/04/2024</v>
      </c>
      <c r="E28" s="100" t="str">
        <f>IFERROR(__xludf.DUMMYFUNCTION("""COMPUTED_VALUE"""),"003.612.264-54")</f>
        <v>003.612.264-54</v>
      </c>
      <c r="F28" s="100" t="str">
        <f>IFERROR(__xludf.DUMMYFUNCTION("""COMPUTED_VALUE"""),"INFANTIL 1")</f>
        <v>INFANTIL 1</v>
      </c>
      <c r="G28" s="100" t="str">
        <f>IFERROR(__xludf.DUMMYFUNCTION("""COMPUTED_VALUE"""),"CEMEI PROFESSORA CIBELE DE ANDRADE MENDES DE AZEVEDO")</f>
        <v>CEMEI PROFESSORA CIBELE DE ANDRADE MENDES DE AZEVEDO</v>
      </c>
      <c r="H28" s="100" t="str">
        <f>IFERROR(__xludf.DUMMYFUNCTION("""COMPUTED_VALUE"""),"REGIONAL 7")</f>
        <v>REGIONAL 7</v>
      </c>
      <c r="I28" s="100"/>
      <c r="J28" s="100"/>
      <c r="K28" s="100"/>
      <c r="L28" s="100"/>
      <c r="M28" s="100"/>
      <c r="N28" s="100"/>
      <c r="O28" s="100"/>
      <c r="P28" s="100"/>
      <c r="Q28" s="100"/>
      <c r="R28" s="100"/>
      <c r="S28" s="100"/>
      <c r="T28" s="100"/>
      <c r="U28" s="100"/>
      <c r="V28" s="100"/>
      <c r="W28" s="100"/>
      <c r="X28" s="100"/>
      <c r="Y28" s="100"/>
      <c r="Z28" s="100"/>
    </row>
    <row r="29" ht="15.75" customHeight="1" spans="1:26">
      <c r="A29" s="100" t="str">
        <f>IFERROR(__xludf.DUMMYFUNCTION("""COMPUTED_VALUE"""),"05/02/2026 12:22:17")</f>
        <v>05/02/2026 12:22:17</v>
      </c>
      <c r="B29" s="101" t="str">
        <f>IFERROR(__xludf.DUMMYFUNCTION("""COMPUTED_VALUE"""),"4")</f>
        <v>4</v>
      </c>
      <c r="C29" s="100" t="str">
        <f>IFERROR(__xludf.DUMMYFUNCTION("""COMPUTED_VALUE"""),"ELLOÁH JASMIN NASCIMENTO DA SILVA")</f>
        <v>ELLOÁH JASMIN NASCIMENTO DA SILVA</v>
      </c>
      <c r="D29" s="100" t="str">
        <f>IFERROR(__xludf.DUMMYFUNCTION("""COMPUTED_VALUE"""),"12/08/2024")</f>
        <v>12/08/2024</v>
      </c>
      <c r="E29" s="100" t="str">
        <f>IFERROR(__xludf.DUMMYFUNCTION("""COMPUTED_VALUE"""),"003.964.064-75")</f>
        <v>003.964.064-75</v>
      </c>
      <c r="F29" s="100" t="str">
        <f>IFERROR(__xludf.DUMMYFUNCTION("""COMPUTED_VALUE"""),"INFANTIL 1")</f>
        <v>INFANTIL 1</v>
      </c>
      <c r="G29" s="100" t="str">
        <f>IFERROR(__xludf.DUMMYFUNCTION("""COMPUTED_VALUE"""),"CEMEI PROFESSORA CIBELE DE ANDRADE MENDES DE AZEVEDO")</f>
        <v>CEMEI PROFESSORA CIBELE DE ANDRADE MENDES DE AZEVEDO</v>
      </c>
      <c r="H29" s="100" t="str">
        <f>IFERROR(__xludf.DUMMYFUNCTION("""COMPUTED_VALUE"""),"REGIONAL 7")</f>
        <v>REGIONAL 7</v>
      </c>
      <c r="I29" s="100"/>
      <c r="J29" s="100"/>
      <c r="K29" s="100"/>
      <c r="L29" s="100"/>
      <c r="M29" s="100"/>
      <c r="N29" s="100"/>
      <c r="O29" s="100"/>
      <c r="P29" s="100"/>
      <c r="Q29" s="100"/>
      <c r="R29" s="100"/>
      <c r="S29" s="100"/>
      <c r="T29" s="100"/>
      <c r="U29" s="100"/>
      <c r="V29" s="100"/>
      <c r="W29" s="100"/>
      <c r="X29" s="100"/>
      <c r="Y29" s="100"/>
      <c r="Z29" s="100"/>
    </row>
    <row r="30" ht="15.75" customHeight="1" spans="1:26">
      <c r="A30" s="100" t="str">
        <f>IFERROR(__xludf.DUMMYFUNCTION("""COMPUTED_VALUE"""),"05/02/2026 13:29:32")</f>
        <v>05/02/2026 13:29:32</v>
      </c>
      <c r="B30" s="101" t="str">
        <f>IFERROR(__xludf.DUMMYFUNCTION("""COMPUTED_VALUE"""),"5")</f>
        <v>5</v>
      </c>
      <c r="C30" s="100" t="str">
        <f>IFERROR(__xludf.DUMMYFUNCTION("""COMPUTED_VALUE"""),"OLIVER LICKS DE ALMEIDA")</f>
        <v>OLIVER LICKS DE ALMEIDA</v>
      </c>
      <c r="D30" s="100" t="str">
        <f>IFERROR(__xludf.DUMMYFUNCTION("""COMPUTED_VALUE"""),"16/05/2024")</f>
        <v>16/05/2024</v>
      </c>
      <c r="E30" s="100" t="str">
        <f>IFERROR(__xludf.DUMMYFUNCTION("""COMPUTED_VALUE"""),"002.966.174-90")</f>
        <v>002.966.174-90</v>
      </c>
      <c r="F30" s="100" t="str">
        <f>IFERROR(__xludf.DUMMYFUNCTION("""COMPUTED_VALUE"""),"INFANTIL 1")</f>
        <v>INFANTIL 1</v>
      </c>
      <c r="G30" s="100" t="str">
        <f>IFERROR(__xludf.DUMMYFUNCTION("""COMPUTED_VALUE"""),"CEMEI PROFESSORA CIBELE DE ANDRADE MENDES DE AZEVEDO")</f>
        <v>CEMEI PROFESSORA CIBELE DE ANDRADE MENDES DE AZEVEDO</v>
      </c>
      <c r="H30" s="100" t="str">
        <f>IFERROR(__xludf.DUMMYFUNCTION("""COMPUTED_VALUE"""),"REGIONAL 7")</f>
        <v>REGIONAL 7</v>
      </c>
      <c r="I30" s="100"/>
      <c r="J30" s="100"/>
      <c r="K30" s="100"/>
      <c r="L30" s="100"/>
      <c r="M30" s="100"/>
      <c r="N30" s="100"/>
      <c r="O30" s="100"/>
      <c r="P30" s="100"/>
      <c r="Q30" s="100"/>
      <c r="R30" s="100"/>
      <c r="S30" s="100"/>
      <c r="T30" s="100"/>
      <c r="U30" s="100"/>
      <c r="V30" s="100"/>
      <c r="W30" s="100"/>
      <c r="X30" s="100"/>
      <c r="Y30" s="100"/>
      <c r="Z30" s="100"/>
    </row>
    <row r="31" ht="15.75" customHeight="1" spans="1:26">
      <c r="A31" s="100" t="str">
        <f>IFERROR(__xludf.DUMMYFUNCTION("""COMPUTED_VALUE"""),"05/02/2026 15:38:24")</f>
        <v>05/02/2026 15:38:24</v>
      </c>
      <c r="B31" s="101" t="str">
        <f>IFERROR(__xludf.DUMMYFUNCTION("""COMPUTED_VALUE"""),"6")</f>
        <v>6</v>
      </c>
      <c r="C31" s="100" t="str">
        <f>IFERROR(__xludf.DUMMYFUNCTION("""COMPUTED_VALUE"""),"THOMAS ENRICO RODRIGUES DE BARROS")</f>
        <v>THOMAS ENRICO RODRIGUES DE BARROS</v>
      </c>
      <c r="D31" s="100" t="str">
        <f>IFERROR(__xludf.DUMMYFUNCTION("""COMPUTED_VALUE"""),"19/05/2024")</f>
        <v>19/05/2024</v>
      </c>
      <c r="E31" s="100" t="str">
        <f>IFERROR(__xludf.DUMMYFUNCTION("""COMPUTED_VALUE"""),"003.082.134-75")</f>
        <v>003.082.134-75</v>
      </c>
      <c r="F31" s="100" t="str">
        <f>IFERROR(__xludf.DUMMYFUNCTION("""COMPUTED_VALUE"""),"INFANTIL 1")</f>
        <v>INFANTIL 1</v>
      </c>
      <c r="G31" s="100" t="str">
        <f>IFERROR(__xludf.DUMMYFUNCTION("""COMPUTED_VALUE"""),"CEMEI PROFESSORA CIBELE DE ANDRADE MENDES DE AZEVEDO")</f>
        <v>CEMEI PROFESSORA CIBELE DE ANDRADE MENDES DE AZEVEDO</v>
      </c>
      <c r="H31" s="100" t="str">
        <f>IFERROR(__xludf.DUMMYFUNCTION("""COMPUTED_VALUE"""),"REGIONAL 7")</f>
        <v>REGIONAL 7</v>
      </c>
      <c r="I31" s="100"/>
      <c r="J31" s="100"/>
      <c r="K31" s="100"/>
      <c r="L31" s="100"/>
      <c r="M31" s="100"/>
      <c r="N31" s="100"/>
      <c r="O31" s="100"/>
      <c r="P31" s="100"/>
      <c r="Q31" s="100"/>
      <c r="R31" s="100"/>
      <c r="S31" s="100"/>
      <c r="T31" s="100"/>
      <c r="U31" s="100"/>
      <c r="V31" s="100"/>
      <c r="W31" s="100"/>
      <c r="X31" s="100"/>
      <c r="Y31" s="100"/>
      <c r="Z31" s="100"/>
    </row>
    <row r="32" ht="15.75" customHeight="1" spans="1:26">
      <c r="A32" s="100" t="str">
        <f>IFERROR(__xludf.DUMMYFUNCTION("""COMPUTED_VALUE"""),"05/02/2026 20:35:45")</f>
        <v>05/02/2026 20:35:45</v>
      </c>
      <c r="B32" s="101" t="str">
        <f>IFERROR(__xludf.DUMMYFUNCTION("""COMPUTED_VALUE"""),"7")</f>
        <v>7</v>
      </c>
      <c r="C32" s="100" t="str">
        <f>IFERROR(__xludf.DUMMYFUNCTION("""COMPUTED_VALUE"""),"YASMIM BEATRIZ DA SILVA ADRIÃO")</f>
        <v>YASMIM BEATRIZ DA SILVA ADRIÃO</v>
      </c>
      <c r="D32" s="100" t="str">
        <f>IFERROR(__xludf.DUMMYFUNCTION("""COMPUTED_VALUE"""),"14/03/2025")</f>
        <v>14/03/2025</v>
      </c>
      <c r="E32" s="100" t="str">
        <f>IFERROR(__xludf.DUMMYFUNCTION("""COMPUTED_VALUE"""),"005.732.894-33")</f>
        <v>005.732.894-33</v>
      </c>
      <c r="F32" s="100" t="str">
        <f>IFERROR(__xludf.DUMMYFUNCTION("""COMPUTED_VALUE"""),"INFANTIL 1")</f>
        <v>INFANTIL 1</v>
      </c>
      <c r="G32" s="100" t="str">
        <f>IFERROR(__xludf.DUMMYFUNCTION("""COMPUTED_VALUE"""),"CEMEI PROFESSORA CIBELE DE ANDRADE MENDES DE AZEVEDO")</f>
        <v>CEMEI PROFESSORA CIBELE DE ANDRADE MENDES DE AZEVEDO</v>
      </c>
      <c r="H32" s="100" t="str">
        <f>IFERROR(__xludf.DUMMYFUNCTION("""COMPUTED_VALUE"""),"REGIONAL 7")</f>
        <v>REGIONAL 7</v>
      </c>
      <c r="I32" s="100"/>
      <c r="J32" s="100"/>
      <c r="K32" s="100"/>
      <c r="L32" s="100"/>
      <c r="M32" s="100"/>
      <c r="N32" s="100"/>
      <c r="O32" s="100"/>
      <c r="P32" s="100"/>
      <c r="Q32" s="100"/>
      <c r="R32" s="100"/>
      <c r="S32" s="100"/>
      <c r="T32" s="100"/>
      <c r="U32" s="100"/>
      <c r="V32" s="100"/>
      <c r="W32" s="100"/>
      <c r="X32" s="100"/>
      <c r="Y32" s="100"/>
      <c r="Z32" s="100"/>
    </row>
    <row r="33" ht="15.75" customHeight="1" spans="1:26">
      <c r="A33" s="100" t="str">
        <f>IFERROR(__xludf.DUMMYFUNCTION("""COMPUTED_VALUE"""),"23/02/2026 14:03:33")</f>
        <v>23/02/2026 14:03:33</v>
      </c>
      <c r="B33" s="101" t="str">
        <f>IFERROR(__xludf.DUMMYFUNCTION("""COMPUTED_VALUE"""),"8")</f>
        <v>8</v>
      </c>
      <c r="C33" s="100" t="str">
        <f>IFERROR(__xludf.DUMMYFUNCTION("""COMPUTED_VALUE"""),"EMANUELLY SOFIA DA SILVA")</f>
        <v>EMANUELLY SOFIA DA SILVA</v>
      </c>
      <c r="D33" s="100" t="str">
        <f>IFERROR(__xludf.DUMMYFUNCTION("""COMPUTED_VALUE"""),"10/04/2024")</f>
        <v>10/04/2024</v>
      </c>
      <c r="E33" s="100" t="str">
        <f>IFERROR(__xludf.DUMMYFUNCTION("""COMPUTED_VALUE"""),"002.714.984-63")</f>
        <v>002.714.984-63</v>
      </c>
      <c r="F33" s="100" t="str">
        <f>IFERROR(__xludf.DUMMYFUNCTION("""COMPUTED_VALUE"""),"INFANTIL 1")</f>
        <v>INFANTIL 1</v>
      </c>
      <c r="G33" s="100" t="str">
        <f>IFERROR(__xludf.DUMMYFUNCTION("""COMPUTED_VALUE"""),"CEMEI PROFESSORA CIBELE DE ANDRADE MENDES DE AZEVEDO")</f>
        <v>CEMEI PROFESSORA CIBELE DE ANDRADE MENDES DE AZEVEDO</v>
      </c>
      <c r="H33" s="100" t="str">
        <f>IFERROR(__xludf.DUMMYFUNCTION("""COMPUTED_VALUE"""),"REGIONAL 7")</f>
        <v>REGIONAL 7</v>
      </c>
      <c r="I33" s="100"/>
      <c r="J33" s="100"/>
      <c r="K33" s="100"/>
      <c r="L33" s="100"/>
      <c r="M33" s="100"/>
      <c r="N33" s="100"/>
      <c r="O33" s="100"/>
      <c r="P33" s="100"/>
      <c r="Q33" s="100"/>
      <c r="R33" s="100"/>
      <c r="S33" s="100"/>
      <c r="T33" s="100"/>
      <c r="U33" s="100"/>
      <c r="V33" s="100"/>
      <c r="W33" s="100"/>
      <c r="X33" s="100"/>
      <c r="Y33" s="100"/>
      <c r="Z33" s="100"/>
    </row>
    <row r="34" ht="15.75" customHeight="1" spans="1:26">
      <c r="A34" s="100" t="str">
        <f>IFERROR(__xludf.DUMMYFUNCTION("""COMPUTED_VALUE"""),"16/03/2026 10:09:54")</f>
        <v>16/03/2026 10:09:54</v>
      </c>
      <c r="B34" s="101" t="str">
        <f>IFERROR(__xludf.DUMMYFUNCTION("""COMPUTED_VALUE"""),"9")</f>
        <v>9</v>
      </c>
      <c r="C34" s="100" t="str">
        <f>IFERROR(__xludf.DUMMYFUNCTION("""COMPUTED_VALUE"""),"HELENA MARIA CAVALCANTI MARTINS TORRES")</f>
        <v>HELENA MARIA CAVALCANTI MARTINS TORRES</v>
      </c>
      <c r="D34" s="100" t="str">
        <f>IFERROR(__xludf.DUMMYFUNCTION("""COMPUTED_VALUE"""),"15/04/2024")</f>
        <v>15/04/2024</v>
      </c>
      <c r="E34" s="100" t="str">
        <f>IFERROR(__xludf.DUMMYFUNCTION("""COMPUTED_VALUE"""),"002.611.704-57")</f>
        <v>002.611.704-57</v>
      </c>
      <c r="F34" s="100" t="str">
        <f>IFERROR(__xludf.DUMMYFUNCTION("""COMPUTED_VALUE"""),"INFANTIL 1")</f>
        <v>INFANTIL 1</v>
      </c>
      <c r="G34" s="100" t="str">
        <f>IFERROR(__xludf.DUMMYFUNCTION("""COMPUTED_VALUE"""),"CEMEI PROFESSORA CIBELE DE ANDRADE MENDES DE AZEVEDO")</f>
        <v>CEMEI PROFESSORA CIBELE DE ANDRADE MENDES DE AZEVEDO</v>
      </c>
      <c r="H34" s="100" t="str">
        <f>IFERROR(__xludf.DUMMYFUNCTION("""COMPUTED_VALUE"""),"REGIONAL 7")</f>
        <v>REGIONAL 7</v>
      </c>
      <c r="I34" s="100"/>
      <c r="J34" s="100"/>
      <c r="K34" s="100"/>
      <c r="L34" s="100"/>
      <c r="M34" s="100"/>
      <c r="N34" s="100"/>
      <c r="O34" s="100"/>
      <c r="P34" s="100"/>
      <c r="Q34" s="100"/>
      <c r="R34" s="100"/>
      <c r="S34" s="100"/>
      <c r="T34" s="100"/>
      <c r="U34" s="100"/>
      <c r="V34" s="100"/>
      <c r="W34" s="100"/>
      <c r="X34" s="100"/>
      <c r="Y34" s="100"/>
      <c r="Z34" s="100"/>
    </row>
    <row r="35" ht="15.75" customHeight="1" spans="1:26">
      <c r="A35" s="100" t="str">
        <f>IFERROR(__xludf.DUMMYFUNCTION("""COMPUTED_VALUE"""),"18/03/2026 12:28:10")</f>
        <v>18/03/2026 12:28:10</v>
      </c>
      <c r="B35" s="101" t="str">
        <f>IFERROR(__xludf.DUMMYFUNCTION("""COMPUTED_VALUE"""),"10")</f>
        <v>10</v>
      </c>
      <c r="C35" s="100" t="str">
        <f>IFERROR(__xludf.DUMMYFUNCTION("""COMPUTED_VALUE"""),"LAVI EMANUEL SIQUEIRA DA SILVA")</f>
        <v>LAVI EMANUEL SIQUEIRA DA SILVA</v>
      </c>
      <c r="D35" s="100" t="str">
        <f>IFERROR(__xludf.DUMMYFUNCTION("""COMPUTED_VALUE"""),"19/01/2026")</f>
        <v>19/01/2026</v>
      </c>
      <c r="E35" s="100" t="str">
        <f>IFERROR(__xludf.DUMMYFUNCTION("""COMPUTED_VALUE"""),"045.571.744-34")</f>
        <v>045.571.744-34</v>
      </c>
      <c r="F35" s="100" t="str">
        <f>IFERROR(__xludf.DUMMYFUNCTION("""COMPUTED_VALUE"""),"INFANTIL 1")</f>
        <v>INFANTIL 1</v>
      </c>
      <c r="G35" s="100" t="str">
        <f>IFERROR(__xludf.DUMMYFUNCTION("""COMPUTED_VALUE"""),"CEMEI PROFESSORA CIBELE DE ANDRADE MENDES DE AZEVEDO")</f>
        <v>CEMEI PROFESSORA CIBELE DE ANDRADE MENDES DE AZEVEDO</v>
      </c>
      <c r="H35" s="100" t="str">
        <f>IFERROR(__xludf.DUMMYFUNCTION("""COMPUTED_VALUE"""),"REGIONAL 7")</f>
        <v>REGIONAL 7</v>
      </c>
      <c r="I35" s="100"/>
      <c r="J35" s="100"/>
      <c r="K35" s="100"/>
      <c r="L35" s="100"/>
      <c r="M35" s="100"/>
      <c r="N35" s="100"/>
      <c r="O35" s="100"/>
      <c r="P35" s="100"/>
      <c r="Q35" s="100"/>
      <c r="R35" s="100"/>
      <c r="S35" s="100"/>
      <c r="T35" s="100"/>
      <c r="U35" s="100"/>
      <c r="V35" s="100"/>
      <c r="W35" s="100"/>
      <c r="X35" s="100"/>
      <c r="Y35" s="100"/>
      <c r="Z35" s="100"/>
    </row>
    <row r="36" ht="15.75" customHeight="1" spans="1:26">
      <c r="A36" s="100" t="str">
        <f>IFERROR(__xludf.DUMMYFUNCTION("""COMPUTED_VALUE"""),"26/03/2026 18:22:32")</f>
        <v>26/03/2026 18:22:32</v>
      </c>
      <c r="B36" s="101" t="str">
        <f>IFERROR(__xludf.DUMMYFUNCTION("""COMPUTED_VALUE"""),"11")</f>
        <v>11</v>
      </c>
      <c r="C36" s="100" t="str">
        <f>IFERROR(__xludf.DUMMYFUNCTION("""COMPUTED_VALUE"""),"AYLA MANUELLE ALMEIDA DURVAL BRISSANTT")</f>
        <v>AYLA MANUELLE ALMEIDA DURVAL BRISSANTT</v>
      </c>
      <c r="D36" s="100" t="str">
        <f>IFERROR(__xludf.DUMMYFUNCTION("""COMPUTED_VALUE"""),"20/11/2024")</f>
        <v>20/11/2024</v>
      </c>
      <c r="E36" s="100" t="str">
        <f>IFERROR(__xludf.DUMMYFUNCTION("""COMPUTED_VALUE"""),"004.727.814-56")</f>
        <v>004.727.814-56</v>
      </c>
      <c r="F36" s="100" t="str">
        <f>IFERROR(__xludf.DUMMYFUNCTION("""COMPUTED_VALUE"""),"INFANTIL 1")</f>
        <v>INFANTIL 1</v>
      </c>
      <c r="G36" s="100" t="str">
        <f>IFERROR(__xludf.DUMMYFUNCTION("""COMPUTED_VALUE"""),"CEMEI PROFESSORA CIBELE DE ANDRADE MENDES DE AZEVEDO")</f>
        <v>CEMEI PROFESSORA CIBELE DE ANDRADE MENDES DE AZEVEDO</v>
      </c>
      <c r="H36" s="100" t="str">
        <f>IFERROR(__xludf.DUMMYFUNCTION("""COMPUTED_VALUE"""),"REGIONAL 7")</f>
        <v>REGIONAL 7</v>
      </c>
      <c r="I36" s="100"/>
      <c r="J36" s="100"/>
      <c r="K36" s="100"/>
      <c r="L36" s="100"/>
      <c r="M36" s="100"/>
      <c r="N36" s="100"/>
      <c r="O36" s="100"/>
      <c r="P36" s="100"/>
      <c r="Q36" s="100"/>
      <c r="R36" s="100"/>
      <c r="S36" s="100"/>
      <c r="T36" s="100"/>
      <c r="U36" s="100"/>
      <c r="V36" s="100"/>
      <c r="W36" s="100"/>
      <c r="X36" s="100"/>
      <c r="Y36" s="100"/>
      <c r="Z36" s="100"/>
    </row>
    <row r="37" ht="15.75" customHeight="1" spans="1:26">
      <c r="A37" s="100" t="str">
        <f>IFERROR(__xludf.DUMMYFUNCTION("""COMPUTED_VALUE"""),"29/04/2026 15:44:18")</f>
        <v>29/04/2026 15:44:18</v>
      </c>
      <c r="B37" s="101" t="str">
        <f>IFERROR(__xludf.DUMMYFUNCTION("""COMPUTED_VALUE"""),"12")</f>
        <v>12</v>
      </c>
      <c r="C37" s="100" t="str">
        <f>IFERROR(__xludf.DUMMYFUNCTION("""COMPUTED_VALUE"""),"AYLA SOFIA CORREIA DE LIMA")</f>
        <v>AYLA SOFIA CORREIA DE LIMA</v>
      </c>
      <c r="D37" s="100" t="str">
        <f>IFERROR(__xludf.DUMMYFUNCTION("""COMPUTED_VALUE"""),"06/05/2025")</f>
        <v>06/05/2025</v>
      </c>
      <c r="E37" s="100" t="str">
        <f>IFERROR(__xludf.DUMMYFUNCTION("""COMPUTED_VALUE"""),"006.122.294-16")</f>
        <v>006.122.294-16</v>
      </c>
      <c r="F37" s="100" t="str">
        <f>IFERROR(__xludf.DUMMYFUNCTION("""COMPUTED_VALUE"""),"INFANTIL 1")</f>
        <v>INFANTIL 1</v>
      </c>
      <c r="G37" s="100" t="str">
        <f>IFERROR(__xludf.DUMMYFUNCTION("""COMPUTED_VALUE"""),"CEMEI PROFESSORA CIBELE DE ANDRADE MENDES DE AZEVEDO")</f>
        <v>CEMEI PROFESSORA CIBELE DE ANDRADE MENDES DE AZEVEDO</v>
      </c>
      <c r="H37" s="100" t="str">
        <f>IFERROR(__xludf.DUMMYFUNCTION("""COMPUTED_VALUE"""),"REGIONAL 7")</f>
        <v>REGIONAL 7</v>
      </c>
      <c r="I37" s="100"/>
      <c r="J37" s="100"/>
      <c r="K37" s="100"/>
      <c r="L37" s="100"/>
      <c r="M37" s="100"/>
      <c r="N37" s="100"/>
      <c r="O37" s="100"/>
      <c r="P37" s="100"/>
      <c r="Q37" s="100"/>
      <c r="R37" s="100"/>
      <c r="S37" s="100"/>
      <c r="T37" s="100"/>
      <c r="U37" s="100"/>
      <c r="V37" s="100"/>
      <c r="W37" s="100"/>
      <c r="X37" s="100"/>
      <c r="Y37" s="100"/>
      <c r="Z37" s="100"/>
    </row>
    <row r="38" ht="15.75" customHeight="1" spans="1:26">
      <c r="A38" s="100" t="str">
        <f>IFERROR(__xludf.DUMMYFUNCTION("""COMPUTED_VALUE"""),"19/05/2026 10:34:49")</f>
        <v>19/05/2026 10:34:49</v>
      </c>
      <c r="B38" s="101" t="str">
        <f>IFERROR(__xludf.DUMMYFUNCTION("""COMPUTED_VALUE"""),"13")</f>
        <v>13</v>
      </c>
      <c r="C38" s="100" t="str">
        <f>IFERROR(__xludf.DUMMYFUNCTION("""COMPUTED_VALUE"""),"HARIEL CRUZ CAMPOS")</f>
        <v>HARIEL CRUZ CAMPOS</v>
      </c>
      <c r="D38" s="100" t="str">
        <f>IFERROR(__xludf.DUMMYFUNCTION("""COMPUTED_VALUE"""),"25/10/2025")</f>
        <v>25/10/2025</v>
      </c>
      <c r="E38" s="100" t="str">
        <f>IFERROR(__xludf.DUMMYFUNCTION("""COMPUTED_VALUE"""),"017.444.294-72")</f>
        <v>017.444.294-72</v>
      </c>
      <c r="F38" s="100" t="str">
        <f>IFERROR(__xludf.DUMMYFUNCTION("""COMPUTED_VALUE"""),"INFANTIL 1")</f>
        <v>INFANTIL 1</v>
      </c>
      <c r="G38" s="100" t="str">
        <f>IFERROR(__xludf.DUMMYFUNCTION("""COMPUTED_VALUE"""),"CEMEI PROFESSORA CIBELE DE ANDRADE MENDES DE AZEVEDO")</f>
        <v>CEMEI PROFESSORA CIBELE DE ANDRADE MENDES DE AZEVEDO</v>
      </c>
      <c r="H38" s="100" t="str">
        <f>IFERROR(__xludf.DUMMYFUNCTION("""COMPUTED_VALUE"""),"REGIONAL 7")</f>
        <v>REGIONAL 7</v>
      </c>
      <c r="I38" s="100"/>
      <c r="J38" s="100"/>
      <c r="K38" s="100"/>
      <c r="L38" s="100"/>
      <c r="M38" s="100"/>
      <c r="N38" s="100"/>
      <c r="O38" s="100"/>
      <c r="P38" s="100"/>
      <c r="Q38" s="100"/>
      <c r="R38" s="100"/>
      <c r="S38" s="100"/>
      <c r="T38" s="100"/>
      <c r="U38" s="100"/>
      <c r="V38" s="100"/>
      <c r="W38" s="100"/>
      <c r="X38" s="100"/>
      <c r="Y38" s="100"/>
      <c r="Z38" s="100"/>
    </row>
    <row r="39" ht="15.75" customHeight="1" spans="1:26">
      <c r="A39" s="100" t="str">
        <f>IFERROR(__xludf.DUMMYFUNCTION("""COMPUTED_VALUE"""),"25/05/2026 18:01:52")</f>
        <v>25/05/2026 18:01:52</v>
      </c>
      <c r="B39" s="101" t="str">
        <f>IFERROR(__xludf.DUMMYFUNCTION("""COMPUTED_VALUE"""),"14")</f>
        <v>14</v>
      </c>
      <c r="C39" s="100" t="str">
        <f>IFERROR(__xludf.DUMMYFUNCTION("""COMPUTED_VALUE"""),"Naomi Uehara Alves da Silva")</f>
        <v>Naomi Uehara Alves da Silva</v>
      </c>
      <c r="D39" s="100" t="str">
        <f>IFERROR(__xludf.DUMMYFUNCTION("""COMPUTED_VALUE"""),"15/04/2025")</f>
        <v>15/04/2025</v>
      </c>
      <c r="E39" s="100" t="str">
        <f>IFERROR(__xludf.DUMMYFUNCTION("""COMPUTED_VALUE"""),"005.944.274-36")</f>
        <v>005.944.274-36</v>
      </c>
      <c r="F39" s="100" t="str">
        <f>IFERROR(__xludf.DUMMYFUNCTION("""COMPUTED_VALUE"""),"INFANTIL 1")</f>
        <v>INFANTIL 1</v>
      </c>
      <c r="G39" s="100" t="str">
        <f>IFERROR(__xludf.DUMMYFUNCTION("""COMPUTED_VALUE"""),"CEMEI PROFESSORA CIBELE DE ANDRADE MENDES DE AZEVEDO")</f>
        <v>CEMEI PROFESSORA CIBELE DE ANDRADE MENDES DE AZEVEDO</v>
      </c>
      <c r="H39" s="100" t="str">
        <f>IFERROR(__xludf.DUMMYFUNCTION("""COMPUTED_VALUE"""),"REGIONAL 7")</f>
        <v>REGIONAL 7</v>
      </c>
      <c r="I39" s="100"/>
      <c r="J39" s="100"/>
      <c r="K39" s="100"/>
      <c r="L39" s="100"/>
      <c r="M39" s="100"/>
      <c r="N39" s="100"/>
      <c r="O39" s="100"/>
      <c r="P39" s="100"/>
      <c r="Q39" s="100"/>
      <c r="R39" s="100"/>
      <c r="S39" s="100"/>
      <c r="T39" s="100"/>
      <c r="U39" s="100"/>
      <c r="V39" s="100"/>
      <c r="W39" s="100"/>
      <c r="X39" s="100"/>
      <c r="Y39" s="100"/>
      <c r="Z39" s="100"/>
    </row>
    <row r="40" ht="15.75" customHeight="1" spans="1:26">
      <c r="A40" s="100" t="str">
        <f>IFERROR(__xludf.DUMMYFUNCTION("""COMPUTED_VALUE"""),"10/03/2026 12:16:11")</f>
        <v>10/03/2026 12:16:11</v>
      </c>
      <c r="B40" s="101" t="str">
        <f>IFERROR(__xludf.DUMMYFUNCTION("""COMPUTED_VALUE"""),"1")</f>
        <v>1</v>
      </c>
      <c r="C40" s="100" t="str">
        <f>IFERROR(__xludf.DUMMYFUNCTION("""COMPUTED_VALUE"""),"MELISSA VITÓRIA CIPRIANO DE LIMA")</f>
        <v>MELISSA VITÓRIA CIPRIANO DE LIMA</v>
      </c>
      <c r="D40" s="100" t="str">
        <f>IFERROR(__xludf.DUMMYFUNCTION("""COMPUTED_VALUE"""),"17/01/2024")</f>
        <v>17/01/2024</v>
      </c>
      <c r="E40" s="100" t="str">
        <f>IFERROR(__xludf.DUMMYFUNCTION("""COMPUTED_VALUE"""),"001.770.654-86")</f>
        <v>001.770.654-86</v>
      </c>
      <c r="F40" s="100" t="str">
        <f>IFERROR(__xludf.DUMMYFUNCTION("""COMPUTED_VALUE"""),"INFANTIL 2")</f>
        <v>INFANTIL 2</v>
      </c>
      <c r="G40" s="100" t="str">
        <f>IFERROR(__xludf.DUMMYFUNCTION("""COMPUTED_VALUE"""),"CEMEI PROFESSORA CIBELE DE ANDRADE MENDES DE AZEVEDO")</f>
        <v>CEMEI PROFESSORA CIBELE DE ANDRADE MENDES DE AZEVEDO</v>
      </c>
      <c r="H40" s="100" t="str">
        <f>IFERROR(__xludf.DUMMYFUNCTION("""COMPUTED_VALUE"""),"REGIONAL 7")</f>
        <v>REGIONAL 7</v>
      </c>
      <c r="I40" s="100"/>
      <c r="J40" s="100"/>
      <c r="K40" s="100"/>
      <c r="L40" s="100"/>
      <c r="M40" s="100"/>
      <c r="N40" s="100"/>
      <c r="O40" s="100"/>
      <c r="P40" s="100"/>
      <c r="Q40" s="100"/>
      <c r="R40" s="100"/>
      <c r="S40" s="100"/>
      <c r="T40" s="100"/>
      <c r="U40" s="100"/>
      <c r="V40" s="100"/>
      <c r="W40" s="100"/>
      <c r="X40" s="100"/>
      <c r="Y40" s="100"/>
      <c r="Z40" s="100"/>
    </row>
    <row r="41" ht="15.75" customHeight="1" spans="1:26">
      <c r="A41" s="100" t="str">
        <f>IFERROR(__xludf.DUMMYFUNCTION("""COMPUTED_VALUE"""),"17/03/2026 09:54:44")</f>
        <v>17/03/2026 09:54:44</v>
      </c>
      <c r="B41" s="101" t="str">
        <f>IFERROR(__xludf.DUMMYFUNCTION("""COMPUTED_VALUE"""),"2")</f>
        <v>2</v>
      </c>
      <c r="C41" s="100" t="str">
        <f>IFERROR(__xludf.DUMMYFUNCTION("""COMPUTED_VALUE"""),"ELOAH SOFIA SILVA DE SANTANA")</f>
        <v>ELOAH SOFIA SILVA DE SANTANA</v>
      </c>
      <c r="D41" s="100" t="str">
        <f>IFERROR(__xludf.DUMMYFUNCTION("""COMPUTED_VALUE"""),"03/01/2024")</f>
        <v>03/01/2024</v>
      </c>
      <c r="E41" s="100" t="str">
        <f>IFERROR(__xludf.DUMMYFUNCTION("""COMPUTED_VALUE"""),"001.380.254-28")</f>
        <v>001.380.254-28</v>
      </c>
      <c r="F41" s="100" t="str">
        <f>IFERROR(__xludf.DUMMYFUNCTION("""COMPUTED_VALUE"""),"INFANTIL 2")</f>
        <v>INFANTIL 2</v>
      </c>
      <c r="G41" s="100" t="str">
        <f>IFERROR(__xludf.DUMMYFUNCTION("""COMPUTED_VALUE"""),"CEMEI PROFESSORA CIBELE DE ANDRADE MENDES DE AZEVEDO")</f>
        <v>CEMEI PROFESSORA CIBELE DE ANDRADE MENDES DE AZEVEDO</v>
      </c>
      <c r="H41" s="100" t="str">
        <f>IFERROR(__xludf.DUMMYFUNCTION("""COMPUTED_VALUE"""),"REGIONAL 7")</f>
        <v>REGIONAL 7</v>
      </c>
      <c r="I41" s="100"/>
      <c r="J41" s="100"/>
      <c r="K41" s="100"/>
      <c r="L41" s="100"/>
      <c r="M41" s="100"/>
      <c r="N41" s="100"/>
      <c r="O41" s="100"/>
      <c r="P41" s="100"/>
      <c r="Q41" s="100"/>
      <c r="R41" s="100"/>
      <c r="S41" s="100"/>
      <c r="T41" s="100"/>
      <c r="U41" s="100"/>
      <c r="V41" s="100"/>
      <c r="W41" s="100"/>
      <c r="X41" s="100"/>
      <c r="Y41" s="100"/>
      <c r="Z41" s="100"/>
    </row>
    <row r="42" ht="15.75" customHeight="1" spans="1:26">
      <c r="A42" s="100" t="str">
        <f>IFERROR(__xludf.DUMMYFUNCTION("""COMPUTED_VALUE"""),"05/05/2026 11:36:38")</f>
        <v>05/05/2026 11:36:38</v>
      </c>
      <c r="B42" s="101" t="str">
        <f>IFERROR(__xludf.DUMMYFUNCTION("""COMPUTED_VALUE"""),"3")</f>
        <v>3</v>
      </c>
      <c r="C42" s="100" t="str">
        <f>IFERROR(__xludf.DUMMYFUNCTION("""COMPUTED_VALUE"""),"LUNA MARIA GOMES ALVES")</f>
        <v>LUNA MARIA GOMES ALVES</v>
      </c>
      <c r="D42" s="100" t="str">
        <f>IFERROR(__xludf.DUMMYFUNCTION("""COMPUTED_VALUE"""),"08/01/2024")</f>
        <v>08/01/2024</v>
      </c>
      <c r="E42" s="100" t="str">
        <f>IFERROR(__xludf.DUMMYFUNCTION("""COMPUTED_VALUE"""),"001.809.754-55")</f>
        <v>001.809.754-55</v>
      </c>
      <c r="F42" s="100" t="str">
        <f>IFERROR(__xludf.DUMMYFUNCTION("""COMPUTED_VALUE"""),"INFANTIL 2")</f>
        <v>INFANTIL 2</v>
      </c>
      <c r="G42" s="100" t="str">
        <f>IFERROR(__xludf.DUMMYFUNCTION("""COMPUTED_VALUE"""),"CEMEI PROFESSORA CIBELE DE ANDRADE MENDES DE AZEVEDO")</f>
        <v>CEMEI PROFESSORA CIBELE DE ANDRADE MENDES DE AZEVEDO</v>
      </c>
      <c r="H42" s="100" t="str">
        <f>IFERROR(__xludf.DUMMYFUNCTION("""COMPUTED_VALUE"""),"REGIONAL 7")</f>
        <v>REGIONAL 7</v>
      </c>
      <c r="I42" s="100"/>
      <c r="J42" s="100"/>
      <c r="K42" s="100"/>
      <c r="L42" s="100"/>
      <c r="M42" s="100"/>
      <c r="N42" s="100"/>
      <c r="O42" s="100"/>
      <c r="P42" s="100"/>
      <c r="Q42" s="100"/>
      <c r="R42" s="100"/>
      <c r="S42" s="100"/>
      <c r="T42" s="100"/>
      <c r="U42" s="100"/>
      <c r="V42" s="100"/>
      <c r="W42" s="100"/>
      <c r="X42" s="100"/>
      <c r="Y42" s="100"/>
      <c r="Z42" s="100"/>
    </row>
    <row r="43" ht="15.75" customHeight="1" spans="1:26">
      <c r="A43" s="100" t="str">
        <f>IFERROR(__xludf.DUMMYFUNCTION("""COMPUTED_VALUE"""),"25/05/2026 18:09:35")</f>
        <v>25/05/2026 18:09:35</v>
      </c>
      <c r="B43" s="101" t="str">
        <f>IFERROR(__xludf.DUMMYFUNCTION("""COMPUTED_VALUE"""),"4")</f>
        <v>4</v>
      </c>
      <c r="C43" s="100" t="str">
        <f>IFERROR(__xludf.DUMMYFUNCTION("""COMPUTED_VALUE"""),"Anthony Gabriel Alves Teixeira da silva")</f>
        <v>Anthony Gabriel Alves Teixeira da silva</v>
      </c>
      <c r="D43" s="100" t="str">
        <f>IFERROR(__xludf.DUMMYFUNCTION("""COMPUTED_VALUE"""),"29/02/2024")</f>
        <v>29/02/2024</v>
      </c>
      <c r="E43" s="100" t="str">
        <f>IFERROR(__xludf.DUMMYFUNCTION("""COMPUTED_VALUE"""),"002.138.204-20")</f>
        <v>002.138.204-20</v>
      </c>
      <c r="F43" s="100" t="str">
        <f>IFERROR(__xludf.DUMMYFUNCTION("""COMPUTED_VALUE"""),"INFANTIL 2")</f>
        <v>INFANTIL 2</v>
      </c>
      <c r="G43" s="100" t="str">
        <f>IFERROR(__xludf.DUMMYFUNCTION("""COMPUTED_VALUE"""),"CEMEI PROFESSORA CIBELE DE ANDRADE MENDES DE AZEVEDO")</f>
        <v>CEMEI PROFESSORA CIBELE DE ANDRADE MENDES DE AZEVEDO</v>
      </c>
      <c r="H43" s="100" t="str">
        <f>IFERROR(__xludf.DUMMYFUNCTION("""COMPUTED_VALUE"""),"REGIONAL 7")</f>
        <v>REGIONAL 7</v>
      </c>
      <c r="I43" s="100"/>
      <c r="J43" s="100"/>
      <c r="K43" s="100"/>
      <c r="L43" s="100"/>
      <c r="M43" s="100"/>
      <c r="N43" s="100"/>
      <c r="O43" s="100"/>
      <c r="P43" s="100"/>
      <c r="Q43" s="100"/>
      <c r="R43" s="100"/>
      <c r="S43" s="100"/>
      <c r="T43" s="100"/>
      <c r="U43" s="100"/>
      <c r="V43" s="100"/>
      <c r="W43" s="100"/>
      <c r="X43" s="100"/>
      <c r="Y43" s="100"/>
      <c r="Z43" s="100"/>
    </row>
    <row r="44" ht="15.75" customHeight="1" spans="1:26">
      <c r="A44" s="100" t="str">
        <f>IFERROR(__xludf.DUMMYFUNCTION("""COMPUTED_VALUE"""),"09/03/2026 13:36:35")</f>
        <v>09/03/2026 13:36:35</v>
      </c>
      <c r="B44" s="101" t="str">
        <f>IFERROR(__xludf.DUMMYFUNCTION("""COMPUTED_VALUE"""),"1")</f>
        <v>1</v>
      </c>
      <c r="C44" s="100" t="str">
        <f>IFERROR(__xludf.DUMMYFUNCTION("""COMPUTED_VALUE"""),"BRAYAN MENDES")</f>
        <v>BRAYAN MENDES</v>
      </c>
      <c r="D44" s="100" t="str">
        <f>IFERROR(__xludf.DUMMYFUNCTION("""COMPUTED_VALUE"""),"07/02/2023")</f>
        <v>07/02/2023</v>
      </c>
      <c r="E44" s="100" t="str">
        <f>IFERROR(__xludf.DUMMYFUNCTION("""COMPUTED_VALUE"""),"006.823.174-11")</f>
        <v>006.823.174-11</v>
      </c>
      <c r="F44" s="100" t="str">
        <f>IFERROR(__xludf.DUMMYFUNCTION("""COMPUTED_VALUE"""),"INFANTIL 3")</f>
        <v>INFANTIL 3</v>
      </c>
      <c r="G44" s="100" t="str">
        <f>IFERROR(__xludf.DUMMYFUNCTION("""COMPUTED_VALUE"""),"CEMEI PROFESSORA CIBELE DE ANDRADE MENDES DE AZEVEDO")</f>
        <v>CEMEI PROFESSORA CIBELE DE ANDRADE MENDES DE AZEVEDO</v>
      </c>
      <c r="H44" s="100" t="str">
        <f>IFERROR(__xludf.DUMMYFUNCTION("""COMPUTED_VALUE"""),"REGIONAL 7")</f>
        <v>REGIONAL 7</v>
      </c>
      <c r="I44" s="100"/>
      <c r="J44" s="100"/>
      <c r="K44" s="100"/>
      <c r="L44" s="100"/>
      <c r="M44" s="100"/>
      <c r="N44" s="100"/>
      <c r="O44" s="100"/>
      <c r="P44" s="100"/>
      <c r="Q44" s="100"/>
      <c r="R44" s="100"/>
      <c r="S44" s="100"/>
      <c r="T44" s="100"/>
      <c r="U44" s="100"/>
      <c r="V44" s="100"/>
      <c r="W44" s="100"/>
      <c r="X44" s="100"/>
      <c r="Y44" s="100"/>
      <c r="Z44" s="100"/>
    </row>
    <row r="45" ht="15.75" customHeight="1" spans="1:26">
      <c r="A45" s="100" t="str">
        <f>IFERROR(__xludf.DUMMYFUNCTION("""COMPUTED_VALUE"""),"23/03/2026 18:55:05")</f>
        <v>23/03/2026 18:55:05</v>
      </c>
      <c r="B45" s="101" t="str">
        <f>IFERROR(__xludf.DUMMYFUNCTION("""COMPUTED_VALUE"""),"2")</f>
        <v>2</v>
      </c>
      <c r="C45" s="100" t="str">
        <f>IFERROR(__xludf.DUMMYFUNCTION("""COMPUTED_VALUE"""),"FRANK GAEL COSTA LOPES")</f>
        <v>FRANK GAEL COSTA LOPES</v>
      </c>
      <c r="D45" s="100" t="str">
        <f>IFERROR(__xludf.DUMMYFUNCTION("""COMPUTED_VALUE"""),"08/06/2022")</f>
        <v>08/06/2022</v>
      </c>
      <c r="E45" s="100" t="str">
        <f>IFERROR(__xludf.DUMMYFUNCTION("""COMPUTED_VALUE"""),"181.868.494-24")</f>
        <v>181.868.494-24</v>
      </c>
      <c r="F45" s="100" t="str">
        <f>IFERROR(__xludf.DUMMYFUNCTION("""COMPUTED_VALUE"""),"INFANTIL 3")</f>
        <v>INFANTIL 3</v>
      </c>
      <c r="G45" s="100" t="str">
        <f>IFERROR(__xludf.DUMMYFUNCTION("""COMPUTED_VALUE"""),"CEMEI PROFESSORA CIBELE DE ANDRADE MENDES DE AZEVEDO")</f>
        <v>CEMEI PROFESSORA CIBELE DE ANDRADE MENDES DE AZEVEDO</v>
      </c>
      <c r="H45" s="100" t="str">
        <f>IFERROR(__xludf.DUMMYFUNCTION("""COMPUTED_VALUE"""),"REGIONAL 7")</f>
        <v>REGIONAL 7</v>
      </c>
      <c r="I45" s="100"/>
      <c r="J45" s="100"/>
      <c r="K45" s="100"/>
      <c r="L45" s="100"/>
      <c r="M45" s="100"/>
      <c r="N45" s="100"/>
      <c r="O45" s="100"/>
      <c r="P45" s="100"/>
      <c r="Q45" s="100"/>
      <c r="R45" s="100"/>
      <c r="S45" s="100"/>
      <c r="T45" s="100"/>
      <c r="U45" s="100"/>
      <c r="V45" s="100"/>
      <c r="W45" s="100"/>
      <c r="X45" s="100"/>
      <c r="Y45" s="100"/>
      <c r="Z45" s="100"/>
    </row>
    <row r="46" ht="15.75" customHeight="1" spans="1:26">
      <c r="A46" s="100" t="str">
        <f>IFERROR(__xludf.DUMMYFUNCTION("""COMPUTED_VALUE"""),"22/04/2026 15:18:51")</f>
        <v>22/04/2026 15:18:51</v>
      </c>
      <c r="B46" s="101" t="str">
        <f>IFERROR(__xludf.DUMMYFUNCTION("""COMPUTED_VALUE"""),"3")</f>
        <v>3</v>
      </c>
      <c r="C46" s="100" t="str">
        <f>IFERROR(__xludf.DUMMYFUNCTION("""COMPUTED_VALUE"""),"AYLLA MOANA MAGALHÃES DA SILVA")</f>
        <v>AYLLA MOANA MAGALHÃES DA SILVA</v>
      </c>
      <c r="D46" s="100" t="str">
        <f>IFERROR(__xludf.DUMMYFUNCTION("""COMPUTED_VALUE"""),"05/01/2023")</f>
        <v>05/01/2023</v>
      </c>
      <c r="E46" s="100" t="str">
        <f>IFERROR(__xludf.DUMMYFUNCTION("""COMPUTED_VALUE"""),"184.259.274-20")</f>
        <v>184.259.274-20</v>
      </c>
      <c r="F46" s="100" t="str">
        <f>IFERROR(__xludf.DUMMYFUNCTION("""COMPUTED_VALUE"""),"INFANTIL 3")</f>
        <v>INFANTIL 3</v>
      </c>
      <c r="G46" s="100" t="str">
        <f>IFERROR(__xludf.DUMMYFUNCTION("""COMPUTED_VALUE"""),"CEMEI PROFESSORA CIBELE DE ANDRADE MENDES DE AZEVEDO")</f>
        <v>CEMEI PROFESSORA CIBELE DE ANDRADE MENDES DE AZEVEDO</v>
      </c>
      <c r="H46" s="100" t="str">
        <f>IFERROR(__xludf.DUMMYFUNCTION("""COMPUTED_VALUE"""),"REGIONAL 7")</f>
        <v>REGIONAL 7</v>
      </c>
      <c r="I46" s="100"/>
      <c r="J46" s="100"/>
      <c r="K46" s="100"/>
      <c r="L46" s="100"/>
      <c r="M46" s="100"/>
      <c r="N46" s="100"/>
      <c r="O46" s="100"/>
      <c r="P46" s="100"/>
      <c r="Q46" s="100"/>
      <c r="R46" s="100"/>
      <c r="S46" s="100"/>
      <c r="T46" s="100"/>
      <c r="U46" s="100"/>
      <c r="V46" s="100"/>
      <c r="W46" s="100"/>
      <c r="X46" s="100"/>
      <c r="Y46" s="100"/>
      <c r="Z46" s="100"/>
    </row>
    <row r="47" ht="15.75" customHeight="1" spans="1:26">
      <c r="A47" s="100" t="str">
        <f>IFERROR(__xludf.DUMMYFUNCTION("""COMPUTED_VALUE"""),"23/04/2026 10:57:36")</f>
        <v>23/04/2026 10:57:36</v>
      </c>
      <c r="B47" s="101" t="str">
        <f>IFERROR(__xludf.DUMMYFUNCTION("""COMPUTED_VALUE"""),"4")</f>
        <v>4</v>
      </c>
      <c r="C47" s="100" t="str">
        <f>IFERROR(__xludf.DUMMYFUNCTION("""COMPUTED_VALUE"""),"AYLLA VALENTINA SOUZA DOS SANTOS")</f>
        <v>AYLLA VALENTINA SOUZA DOS SANTOS</v>
      </c>
      <c r="D47" s="100" t="str">
        <f>IFERROR(__xludf.DUMMYFUNCTION("""COMPUTED_VALUE"""),"18/11/2022")</f>
        <v>18/11/2022</v>
      </c>
      <c r="E47" s="100" t="str">
        <f>IFERROR(__xludf.DUMMYFUNCTION("""COMPUTED_VALUE"""),"183.494.434-13")</f>
        <v>183.494.434-13</v>
      </c>
      <c r="F47" s="100" t="str">
        <f>IFERROR(__xludf.DUMMYFUNCTION("""COMPUTED_VALUE"""),"INFANTIL 3")</f>
        <v>INFANTIL 3</v>
      </c>
      <c r="G47" s="100" t="str">
        <f>IFERROR(__xludf.DUMMYFUNCTION("""COMPUTED_VALUE"""),"CEMEI PROFESSORA CIBELE DE ANDRADE MENDES DE AZEVEDO")</f>
        <v>CEMEI PROFESSORA CIBELE DE ANDRADE MENDES DE AZEVEDO</v>
      </c>
      <c r="H47" s="100" t="str">
        <f>IFERROR(__xludf.DUMMYFUNCTION("""COMPUTED_VALUE"""),"REGIONAL 7")</f>
        <v>REGIONAL 7</v>
      </c>
      <c r="I47" s="100"/>
      <c r="J47" s="100"/>
      <c r="K47" s="100"/>
      <c r="L47" s="100"/>
      <c r="M47" s="100"/>
      <c r="N47" s="100"/>
      <c r="O47" s="100"/>
      <c r="P47" s="100"/>
      <c r="Q47" s="100"/>
      <c r="R47" s="100"/>
      <c r="S47" s="100"/>
      <c r="T47" s="100"/>
      <c r="U47" s="100"/>
      <c r="V47" s="100"/>
      <c r="W47" s="100"/>
      <c r="X47" s="100"/>
      <c r="Y47" s="100"/>
      <c r="Z47" s="100"/>
    </row>
    <row r="48" ht="15.75" customHeight="1" spans="1:26">
      <c r="A48" s="100" t="str">
        <f>IFERROR(__xludf.DUMMYFUNCTION("""COMPUTED_VALUE"""),"13/05/2026 10:59:27")</f>
        <v>13/05/2026 10:59:27</v>
      </c>
      <c r="B48" s="101" t="str">
        <f>IFERROR(__xludf.DUMMYFUNCTION("""COMPUTED_VALUE"""),"5")</f>
        <v>5</v>
      </c>
      <c r="C48" s="100" t="str">
        <f>IFERROR(__xludf.DUMMYFUNCTION("""COMPUTED_VALUE"""),"REBECA LUANA DA SILVA MILANEZ")</f>
        <v>REBECA LUANA DA SILVA MILANEZ</v>
      </c>
      <c r="D48" s="100" t="str">
        <f>IFERROR(__xludf.DUMMYFUNCTION("""COMPUTED_VALUE"""),"21/09/2022")</f>
        <v>21/09/2022</v>
      </c>
      <c r="E48" s="100" t="str">
        <f>IFERROR(__xludf.DUMMYFUNCTION("""COMPUTED_VALUE"""),"182.950.714-16")</f>
        <v>182.950.714-16</v>
      </c>
      <c r="F48" s="100" t="str">
        <f>IFERROR(__xludf.DUMMYFUNCTION("""COMPUTED_VALUE"""),"INFANTIL 3")</f>
        <v>INFANTIL 3</v>
      </c>
      <c r="G48" s="100" t="str">
        <f>IFERROR(__xludf.DUMMYFUNCTION("""COMPUTED_VALUE"""),"CEMEI PROFESSORA CIBELE DE ANDRADE MENDES DE AZEVEDO")</f>
        <v>CEMEI PROFESSORA CIBELE DE ANDRADE MENDES DE AZEVEDO</v>
      </c>
      <c r="H48" s="100" t="str">
        <f>IFERROR(__xludf.DUMMYFUNCTION("""COMPUTED_VALUE"""),"REGIONAL 7")</f>
        <v>REGIONAL 7</v>
      </c>
      <c r="I48" s="100"/>
      <c r="J48" s="100"/>
      <c r="K48" s="100"/>
      <c r="L48" s="100"/>
      <c r="M48" s="100"/>
      <c r="N48" s="100"/>
      <c r="O48" s="100"/>
      <c r="P48" s="100"/>
      <c r="Q48" s="100"/>
      <c r="R48" s="100"/>
      <c r="S48" s="100"/>
      <c r="T48" s="100"/>
      <c r="U48" s="100"/>
      <c r="V48" s="100"/>
      <c r="W48" s="100"/>
      <c r="X48" s="100"/>
      <c r="Y48" s="100"/>
      <c r="Z48" s="100"/>
    </row>
    <row r="49" ht="15.75" customHeight="1" spans="1:26">
      <c r="A49" s="100" t="str">
        <f>IFERROR(__xludf.DUMMYFUNCTION("""COMPUTED_VALUE"""),"28/01/2026 08:05:20")</f>
        <v>28/01/2026 08:05:20</v>
      </c>
      <c r="B49" s="101" t="str">
        <f>IFERROR(__xludf.DUMMYFUNCTION("""COMPUTED_VALUE"""),"1")</f>
        <v>1</v>
      </c>
      <c r="C49" s="100" t="str">
        <f>IFERROR(__xludf.DUMMYFUNCTION("""COMPUTED_VALUE"""),"RHAMON LUCAS SOARES")</f>
        <v>RHAMON LUCAS SOARES</v>
      </c>
      <c r="D49" s="100" t="str">
        <f>IFERROR(__xludf.DUMMYFUNCTION("""COMPUTED_VALUE"""),"29/08/2024")</f>
        <v>29/08/2024</v>
      </c>
      <c r="E49" s="100" t="str">
        <f>IFERROR(__xludf.DUMMYFUNCTION("""COMPUTED_VALUE"""),"003.921.824-40")</f>
        <v>003.921.824-40</v>
      </c>
      <c r="F49" s="100" t="str">
        <f>IFERROR(__xludf.DUMMYFUNCTION("""COMPUTED_VALUE"""),"INFANTIL 1")</f>
        <v>INFANTIL 1</v>
      </c>
      <c r="G49" s="100" t="str">
        <f>IFERROR(__xludf.DUMMYFUNCTION("""COMPUTED_VALUE"""),"CEMEI PROFESSORA LINDOMAR DOMINGOS DA SILVA ANJOS")</f>
        <v>CEMEI PROFESSORA LINDOMAR DOMINGOS DA SILVA ANJOS</v>
      </c>
      <c r="H49" s="100" t="str">
        <f>IFERROR(__xludf.DUMMYFUNCTION("""COMPUTED_VALUE"""),"REGIONAL 5")</f>
        <v>REGIONAL 5</v>
      </c>
      <c r="I49" s="100"/>
      <c r="J49" s="100"/>
      <c r="K49" s="100"/>
      <c r="L49" s="100"/>
      <c r="M49" s="100"/>
      <c r="N49" s="100"/>
      <c r="O49" s="100"/>
      <c r="P49" s="100"/>
      <c r="Q49" s="100"/>
      <c r="R49" s="100"/>
      <c r="S49" s="100"/>
      <c r="T49" s="100"/>
      <c r="U49" s="100"/>
      <c r="V49" s="100"/>
      <c r="W49" s="100"/>
      <c r="X49" s="100"/>
      <c r="Y49" s="100"/>
      <c r="Z49" s="100"/>
    </row>
    <row r="50" ht="15.75" customHeight="1" spans="1:26">
      <c r="A50" s="100" t="str">
        <f>IFERROR(__xludf.DUMMYFUNCTION("""COMPUTED_VALUE"""),"28/01/2026 08:08:23")</f>
        <v>28/01/2026 08:08:23</v>
      </c>
      <c r="B50" s="101" t="str">
        <f>IFERROR(__xludf.DUMMYFUNCTION("""COMPUTED_VALUE"""),"2")</f>
        <v>2</v>
      </c>
      <c r="C50" s="100" t="str">
        <f>IFERROR(__xludf.DUMMYFUNCTION("""COMPUTED_VALUE"""),"LUNNA SOPHIA DA SILVA ARAÚJO")</f>
        <v>LUNNA SOPHIA DA SILVA ARAÚJO</v>
      </c>
      <c r="D50" s="100" t="str">
        <f>IFERROR(__xludf.DUMMYFUNCTION("""COMPUTED_VALUE"""),"07/11/2024")</f>
        <v>07/11/2024</v>
      </c>
      <c r="E50" s="100" t="str">
        <f>IFERROR(__xludf.DUMMYFUNCTION("""COMPUTED_VALUE"""),"004.595.404-67")</f>
        <v>004.595.404-67</v>
      </c>
      <c r="F50" s="100" t="str">
        <f>IFERROR(__xludf.DUMMYFUNCTION("""COMPUTED_VALUE"""),"INFANTIL 1")</f>
        <v>INFANTIL 1</v>
      </c>
      <c r="G50" s="100" t="str">
        <f>IFERROR(__xludf.DUMMYFUNCTION("""COMPUTED_VALUE"""),"CEMEI PROFESSORA LINDOMAR DOMINGOS DA SILVA ANJOS")</f>
        <v>CEMEI PROFESSORA LINDOMAR DOMINGOS DA SILVA ANJOS</v>
      </c>
      <c r="H50" s="100" t="str">
        <f>IFERROR(__xludf.DUMMYFUNCTION("""COMPUTED_VALUE"""),"REGIONAL 5")</f>
        <v>REGIONAL 5</v>
      </c>
      <c r="I50" s="100"/>
      <c r="J50" s="100"/>
      <c r="K50" s="100"/>
      <c r="L50" s="100"/>
      <c r="M50" s="100"/>
      <c r="N50" s="100"/>
      <c r="O50" s="100"/>
      <c r="P50" s="100"/>
      <c r="Q50" s="100"/>
      <c r="R50" s="100"/>
      <c r="S50" s="100"/>
      <c r="T50" s="100"/>
      <c r="U50" s="100"/>
      <c r="V50" s="100"/>
      <c r="W50" s="100"/>
      <c r="X50" s="100"/>
      <c r="Y50" s="100"/>
      <c r="Z50" s="100"/>
    </row>
    <row r="51" ht="15.75" customHeight="1" spans="1:26">
      <c r="A51" s="100" t="str">
        <f>IFERROR(__xludf.DUMMYFUNCTION("""COMPUTED_VALUE"""),"28/01/2026 08:08:37")</f>
        <v>28/01/2026 08:08:37</v>
      </c>
      <c r="B51" s="101" t="str">
        <f>IFERROR(__xludf.DUMMYFUNCTION("""COMPUTED_VALUE"""),"3")</f>
        <v>3</v>
      </c>
      <c r="C51" s="100" t="str">
        <f>IFERROR(__xludf.DUMMYFUNCTION("""COMPUTED_VALUE"""),"BRYAN ARTHUR COSTA SILVA")</f>
        <v>BRYAN ARTHUR COSTA SILVA</v>
      </c>
      <c r="D51" s="100" t="str">
        <f>IFERROR(__xludf.DUMMYFUNCTION("""COMPUTED_VALUE"""),"13/09/2024")</f>
        <v>13/09/2024</v>
      </c>
      <c r="E51" s="100" t="str">
        <f>IFERROR(__xludf.DUMMYFUNCTION("""COMPUTED_VALUE"""),"004.069.734-74")</f>
        <v>004.069.734-74</v>
      </c>
      <c r="F51" s="100" t="str">
        <f>IFERROR(__xludf.DUMMYFUNCTION("""COMPUTED_VALUE"""),"INFANTIL 1")</f>
        <v>INFANTIL 1</v>
      </c>
      <c r="G51" s="100" t="str">
        <f>IFERROR(__xludf.DUMMYFUNCTION("""COMPUTED_VALUE"""),"CEMEI PROFESSORA LINDOMAR DOMINGOS DA SILVA ANJOS")</f>
        <v>CEMEI PROFESSORA LINDOMAR DOMINGOS DA SILVA ANJOS</v>
      </c>
      <c r="H51" s="100" t="str">
        <f>IFERROR(__xludf.DUMMYFUNCTION("""COMPUTED_VALUE"""),"REGIONAL 5")</f>
        <v>REGIONAL 5</v>
      </c>
      <c r="I51" s="100"/>
      <c r="J51" s="100"/>
      <c r="K51" s="100"/>
      <c r="L51" s="100"/>
      <c r="M51" s="100"/>
      <c r="N51" s="100"/>
      <c r="O51" s="100"/>
      <c r="P51" s="100"/>
      <c r="Q51" s="100"/>
      <c r="R51" s="100"/>
      <c r="S51" s="100"/>
      <c r="T51" s="100"/>
      <c r="U51" s="100"/>
      <c r="V51" s="100"/>
      <c r="W51" s="100"/>
      <c r="X51" s="100"/>
      <c r="Y51" s="100"/>
      <c r="Z51" s="100"/>
    </row>
    <row r="52" ht="15.75" customHeight="1" spans="1:26">
      <c r="A52" s="100" t="str">
        <f>IFERROR(__xludf.DUMMYFUNCTION("""COMPUTED_VALUE"""),"28/01/2026 08:11:25")</f>
        <v>28/01/2026 08:11:25</v>
      </c>
      <c r="B52" s="101" t="str">
        <f>IFERROR(__xludf.DUMMYFUNCTION("""COMPUTED_VALUE"""),"4")</f>
        <v>4</v>
      </c>
      <c r="C52" s="100" t="str">
        <f>IFERROR(__xludf.DUMMYFUNCTION("""COMPUTED_VALUE"""),"ANNA LIZ COSTA DA SILVA MOURA")</f>
        <v>ANNA LIZ COSTA DA SILVA MOURA</v>
      </c>
      <c r="D52" s="100" t="str">
        <f>IFERROR(__xludf.DUMMYFUNCTION("""COMPUTED_VALUE"""),"20/04/2024")</f>
        <v>20/04/2024</v>
      </c>
      <c r="E52" s="100" t="str">
        <f>IFERROR(__xludf.DUMMYFUNCTION("""COMPUTED_VALUE"""),"170.372.894-77")</f>
        <v>170.372.894-77</v>
      </c>
      <c r="F52" s="100" t="str">
        <f>IFERROR(__xludf.DUMMYFUNCTION("""COMPUTED_VALUE"""),"INFANTIL 1")</f>
        <v>INFANTIL 1</v>
      </c>
      <c r="G52" s="100" t="str">
        <f>IFERROR(__xludf.DUMMYFUNCTION("""COMPUTED_VALUE"""),"CEMEI PROFESSORA LINDOMAR DOMINGOS DA SILVA ANJOS")</f>
        <v>CEMEI PROFESSORA LINDOMAR DOMINGOS DA SILVA ANJOS</v>
      </c>
      <c r="H52" s="100" t="str">
        <f>IFERROR(__xludf.DUMMYFUNCTION("""COMPUTED_VALUE"""),"REGIONAL 5")</f>
        <v>REGIONAL 5</v>
      </c>
      <c r="I52" s="100"/>
      <c r="J52" s="100"/>
      <c r="K52" s="100"/>
      <c r="L52" s="100"/>
      <c r="M52" s="100"/>
      <c r="N52" s="100"/>
      <c r="O52" s="100"/>
      <c r="P52" s="100"/>
      <c r="Q52" s="100"/>
      <c r="R52" s="100"/>
      <c r="S52" s="100"/>
      <c r="T52" s="100"/>
      <c r="U52" s="100"/>
      <c r="V52" s="100"/>
      <c r="W52" s="100"/>
      <c r="X52" s="100"/>
      <c r="Y52" s="100"/>
      <c r="Z52" s="100"/>
    </row>
    <row r="53" ht="15.75" customHeight="1" spans="1:26">
      <c r="A53" s="100" t="str">
        <f>IFERROR(__xludf.DUMMYFUNCTION("""COMPUTED_VALUE"""),"28/01/2026 08:13:45")</f>
        <v>28/01/2026 08:13:45</v>
      </c>
      <c r="B53" s="101" t="str">
        <f>IFERROR(__xludf.DUMMYFUNCTION("""COMPUTED_VALUE"""),"5")</f>
        <v>5</v>
      </c>
      <c r="C53" s="100" t="str">
        <f>IFERROR(__xludf.DUMMYFUNCTION("""COMPUTED_VALUE"""),"GEYSON LUCAS CABRAL DA SILVA")</f>
        <v>GEYSON LUCAS CABRAL DA SILVA</v>
      </c>
      <c r="D53" s="100" t="str">
        <f>IFERROR(__xludf.DUMMYFUNCTION("""COMPUTED_VALUE"""),"18/07/2024")</f>
        <v>18/07/2024</v>
      </c>
      <c r="E53" s="100" t="str">
        <f>IFERROR(__xludf.DUMMYFUNCTION("""COMPUTED_VALUE"""),"003.545.084-31")</f>
        <v>003.545.084-31</v>
      </c>
      <c r="F53" s="100" t="str">
        <f>IFERROR(__xludf.DUMMYFUNCTION("""COMPUTED_VALUE"""),"INFANTIL 1")</f>
        <v>INFANTIL 1</v>
      </c>
      <c r="G53" s="100" t="str">
        <f>IFERROR(__xludf.DUMMYFUNCTION("""COMPUTED_VALUE"""),"CEMEI PROFESSORA LINDOMAR DOMINGOS DA SILVA ANJOS")</f>
        <v>CEMEI PROFESSORA LINDOMAR DOMINGOS DA SILVA ANJOS</v>
      </c>
      <c r="H53" s="100" t="str">
        <f>IFERROR(__xludf.DUMMYFUNCTION("""COMPUTED_VALUE"""),"REGIONAL 5")</f>
        <v>REGIONAL 5</v>
      </c>
      <c r="I53" s="100"/>
      <c r="J53" s="100"/>
      <c r="K53" s="100"/>
      <c r="L53" s="100"/>
      <c r="M53" s="100"/>
      <c r="N53" s="100"/>
      <c r="O53" s="100"/>
      <c r="P53" s="100"/>
      <c r="Q53" s="100"/>
      <c r="R53" s="100"/>
      <c r="S53" s="100"/>
      <c r="T53" s="100"/>
      <c r="U53" s="100"/>
      <c r="V53" s="100"/>
      <c r="W53" s="100"/>
      <c r="X53" s="100"/>
      <c r="Y53" s="100"/>
      <c r="Z53" s="100"/>
    </row>
    <row r="54" ht="15.75" customHeight="1" spans="1:26">
      <c r="A54" s="100" t="str">
        <f>IFERROR(__xludf.DUMMYFUNCTION("""COMPUTED_VALUE"""),"28/01/2026 08:25:22")</f>
        <v>28/01/2026 08:25:22</v>
      </c>
      <c r="B54" s="101" t="str">
        <f>IFERROR(__xludf.DUMMYFUNCTION("""COMPUTED_VALUE"""),"6")</f>
        <v>6</v>
      </c>
      <c r="C54" s="100" t="str">
        <f>IFERROR(__xludf.DUMMYFUNCTION("""COMPUTED_VALUE"""),"HELENA MAITÊ BARRETO DA SILVA")</f>
        <v>HELENA MAITÊ BARRETO DA SILVA</v>
      </c>
      <c r="D54" s="100" t="str">
        <f>IFERROR(__xludf.DUMMYFUNCTION("""COMPUTED_VALUE"""),"02/11/2024")</f>
        <v>02/11/2024</v>
      </c>
      <c r="E54" s="100" t="str">
        <f>IFERROR(__xludf.DUMMYFUNCTION("""COMPUTED_VALUE"""),"004.709.854-61")</f>
        <v>004.709.854-61</v>
      </c>
      <c r="F54" s="100" t="str">
        <f>IFERROR(__xludf.DUMMYFUNCTION("""COMPUTED_VALUE"""),"INFANTIL 1")</f>
        <v>INFANTIL 1</v>
      </c>
      <c r="G54" s="100" t="str">
        <f>IFERROR(__xludf.DUMMYFUNCTION("""COMPUTED_VALUE"""),"CEMEI PROFESSORA LINDOMAR DOMINGOS DA SILVA ANJOS")</f>
        <v>CEMEI PROFESSORA LINDOMAR DOMINGOS DA SILVA ANJOS</v>
      </c>
      <c r="H54" s="100" t="str">
        <f>IFERROR(__xludf.DUMMYFUNCTION("""COMPUTED_VALUE"""),"REGIONAL 5")</f>
        <v>REGIONAL 5</v>
      </c>
      <c r="I54" s="100"/>
      <c r="J54" s="100"/>
      <c r="K54" s="100"/>
      <c r="L54" s="100"/>
      <c r="M54" s="100"/>
      <c r="N54" s="100"/>
      <c r="O54" s="100"/>
      <c r="P54" s="100"/>
      <c r="Q54" s="100"/>
      <c r="R54" s="100"/>
      <c r="S54" s="100"/>
      <c r="T54" s="100"/>
      <c r="U54" s="100"/>
      <c r="V54" s="100"/>
      <c r="W54" s="100"/>
      <c r="X54" s="100"/>
      <c r="Y54" s="100"/>
      <c r="Z54" s="100"/>
    </row>
    <row r="55" ht="15.75" customHeight="1" spans="1:26">
      <c r="A55" s="100" t="str">
        <f>IFERROR(__xludf.DUMMYFUNCTION("""COMPUTED_VALUE"""),"28/01/2026 09:18:21")</f>
        <v>28/01/2026 09:18:21</v>
      </c>
      <c r="B55" s="101" t="str">
        <f>IFERROR(__xludf.DUMMYFUNCTION("""COMPUTED_VALUE"""),"7")</f>
        <v>7</v>
      </c>
      <c r="C55" s="100" t="str">
        <f>IFERROR(__xludf.DUMMYFUNCTION("""COMPUTED_VALUE"""),"HELOISA FERREIRA MIRANDA DA SILVA")</f>
        <v>HELOISA FERREIRA MIRANDA DA SILVA</v>
      </c>
      <c r="D55" s="100" t="str">
        <f>IFERROR(__xludf.DUMMYFUNCTION("""COMPUTED_VALUE"""),"15/01/2025")</f>
        <v>15/01/2025</v>
      </c>
      <c r="E55" s="100" t="str">
        <f>IFERROR(__xludf.DUMMYFUNCTION("""COMPUTED_VALUE"""),"005.241.694-11")</f>
        <v>005.241.694-11</v>
      </c>
      <c r="F55" s="100" t="str">
        <f>IFERROR(__xludf.DUMMYFUNCTION("""COMPUTED_VALUE"""),"INFANTIL 1")</f>
        <v>INFANTIL 1</v>
      </c>
      <c r="G55" s="100" t="str">
        <f>IFERROR(__xludf.DUMMYFUNCTION("""COMPUTED_VALUE"""),"CEMEI PROFESSORA LINDOMAR DOMINGOS DA SILVA ANJOS")</f>
        <v>CEMEI PROFESSORA LINDOMAR DOMINGOS DA SILVA ANJOS</v>
      </c>
      <c r="H55" s="100" t="str">
        <f>IFERROR(__xludf.DUMMYFUNCTION("""COMPUTED_VALUE"""),"REGIONAL 5")</f>
        <v>REGIONAL 5</v>
      </c>
      <c r="I55" s="100"/>
      <c r="J55" s="100"/>
      <c r="K55" s="100"/>
      <c r="L55" s="100"/>
      <c r="M55" s="100"/>
      <c r="N55" s="100"/>
      <c r="O55" s="100"/>
      <c r="P55" s="100"/>
      <c r="Q55" s="100"/>
      <c r="R55" s="100"/>
      <c r="S55" s="100"/>
      <c r="T55" s="100"/>
      <c r="U55" s="100"/>
      <c r="V55" s="100"/>
      <c r="W55" s="100"/>
      <c r="X55" s="100"/>
      <c r="Y55" s="100"/>
      <c r="Z55" s="100"/>
    </row>
    <row r="56" ht="15.75" customHeight="1" spans="1:26">
      <c r="A56" s="100" t="str">
        <f>IFERROR(__xludf.DUMMYFUNCTION("""COMPUTED_VALUE"""),"28/01/2026 09:33:11")</f>
        <v>28/01/2026 09:33:11</v>
      </c>
      <c r="B56" s="101" t="str">
        <f>IFERROR(__xludf.DUMMYFUNCTION("""COMPUTED_VALUE"""),"8")</f>
        <v>8</v>
      </c>
      <c r="C56" s="100" t="str">
        <f>IFERROR(__xludf.DUMMYFUNCTION("""COMPUTED_VALUE"""),"JASMYNE ELOISE DOS SANTOS")</f>
        <v>JASMYNE ELOISE DOS SANTOS</v>
      </c>
      <c r="D56" s="100" t="str">
        <f>IFERROR(__xludf.DUMMYFUNCTION("""COMPUTED_VALUE"""),"23/06/2024")</f>
        <v>23/06/2024</v>
      </c>
      <c r="E56" s="100" t="str">
        <f>IFERROR(__xludf.DUMMYFUNCTION("""COMPUTED_VALUE"""),"004.726.704-68")</f>
        <v>004.726.704-68</v>
      </c>
      <c r="F56" s="100" t="str">
        <f>IFERROR(__xludf.DUMMYFUNCTION("""COMPUTED_VALUE"""),"INFANTIL 1")</f>
        <v>INFANTIL 1</v>
      </c>
      <c r="G56" s="100" t="str">
        <f>IFERROR(__xludf.DUMMYFUNCTION("""COMPUTED_VALUE"""),"CEMEI PROFESSORA LINDOMAR DOMINGOS DA SILVA ANJOS")</f>
        <v>CEMEI PROFESSORA LINDOMAR DOMINGOS DA SILVA ANJOS</v>
      </c>
      <c r="H56" s="100" t="str">
        <f>IFERROR(__xludf.DUMMYFUNCTION("""COMPUTED_VALUE"""),"REGIONAL 5")</f>
        <v>REGIONAL 5</v>
      </c>
      <c r="I56" s="100"/>
      <c r="J56" s="100"/>
      <c r="K56" s="100"/>
      <c r="L56" s="100"/>
      <c r="M56" s="100"/>
      <c r="N56" s="100"/>
      <c r="O56" s="100"/>
      <c r="P56" s="100"/>
      <c r="Q56" s="100"/>
      <c r="R56" s="100"/>
      <c r="S56" s="100"/>
      <c r="T56" s="100"/>
      <c r="U56" s="100"/>
      <c r="V56" s="100"/>
      <c r="W56" s="100"/>
      <c r="X56" s="100"/>
      <c r="Y56" s="100"/>
      <c r="Z56" s="100"/>
    </row>
    <row r="57" ht="15.75" customHeight="1" spans="1:26">
      <c r="A57" s="100" t="str">
        <f>IFERROR(__xludf.DUMMYFUNCTION("""COMPUTED_VALUE"""),"28/01/2026 09:38:34")</f>
        <v>28/01/2026 09:38:34</v>
      </c>
      <c r="B57" s="101" t="str">
        <f>IFERROR(__xludf.DUMMYFUNCTION("""COMPUTED_VALUE"""),"9")</f>
        <v>9</v>
      </c>
      <c r="C57" s="100" t="str">
        <f>IFERROR(__xludf.DUMMYFUNCTION("""COMPUTED_VALUE"""),"ALEF GABRIEL FERREIRA SALES")</f>
        <v>ALEF GABRIEL FERREIRA SALES</v>
      </c>
      <c r="D57" s="100" t="str">
        <f>IFERROR(__xludf.DUMMYFUNCTION("""COMPUTED_VALUE"""),"31/05/2024")</f>
        <v>31/05/2024</v>
      </c>
      <c r="E57" s="100" t="str">
        <f>IFERROR(__xludf.DUMMYFUNCTION("""COMPUTED_VALUE"""),"003.127.374-24")</f>
        <v>003.127.374-24</v>
      </c>
      <c r="F57" s="100" t="str">
        <f>IFERROR(__xludf.DUMMYFUNCTION("""COMPUTED_VALUE"""),"INFANTIL 1")</f>
        <v>INFANTIL 1</v>
      </c>
      <c r="G57" s="100" t="str">
        <f>IFERROR(__xludf.DUMMYFUNCTION("""COMPUTED_VALUE"""),"CEMEI PROFESSORA LINDOMAR DOMINGOS DA SILVA ANJOS")</f>
        <v>CEMEI PROFESSORA LINDOMAR DOMINGOS DA SILVA ANJOS</v>
      </c>
      <c r="H57" s="100" t="str">
        <f>IFERROR(__xludf.DUMMYFUNCTION("""COMPUTED_VALUE"""),"REGIONAL 5")</f>
        <v>REGIONAL 5</v>
      </c>
      <c r="I57" s="100"/>
      <c r="J57" s="100"/>
      <c r="K57" s="100"/>
      <c r="L57" s="100"/>
      <c r="M57" s="100"/>
      <c r="N57" s="100"/>
      <c r="O57" s="100"/>
      <c r="P57" s="100"/>
      <c r="Q57" s="100"/>
      <c r="R57" s="100"/>
      <c r="S57" s="100"/>
      <c r="T57" s="100"/>
      <c r="U57" s="100"/>
      <c r="V57" s="100"/>
      <c r="W57" s="100"/>
      <c r="X57" s="100"/>
      <c r="Y57" s="100"/>
      <c r="Z57" s="100"/>
    </row>
    <row r="58" ht="15.75" customHeight="1" spans="1:26">
      <c r="A58" s="100" t="str">
        <f>IFERROR(__xludf.DUMMYFUNCTION("""COMPUTED_VALUE"""),"28/01/2026 10:45:36")</f>
        <v>28/01/2026 10:45:36</v>
      </c>
      <c r="B58" s="101" t="str">
        <f>IFERROR(__xludf.DUMMYFUNCTION("""COMPUTED_VALUE"""),"10")</f>
        <v>10</v>
      </c>
      <c r="C58" s="100" t="str">
        <f>IFERROR(__xludf.DUMMYFUNCTION("""COMPUTED_VALUE"""),"THEO MENDES DA SILVA")</f>
        <v>THEO MENDES DA SILVA</v>
      </c>
      <c r="D58" s="100" t="str">
        <f>IFERROR(__xludf.DUMMYFUNCTION("""COMPUTED_VALUE"""),"25/11/2024")</f>
        <v>25/11/2024</v>
      </c>
      <c r="E58" s="100" t="str">
        <f>IFERROR(__xludf.DUMMYFUNCTION("""COMPUTED_VALUE"""),"004.687.804-16")</f>
        <v>004.687.804-16</v>
      </c>
      <c r="F58" s="100" t="str">
        <f>IFERROR(__xludf.DUMMYFUNCTION("""COMPUTED_VALUE"""),"INFANTIL 1")</f>
        <v>INFANTIL 1</v>
      </c>
      <c r="G58" s="100" t="str">
        <f>IFERROR(__xludf.DUMMYFUNCTION("""COMPUTED_VALUE"""),"CEMEI PROFESSORA LINDOMAR DOMINGOS DA SILVA ANJOS")</f>
        <v>CEMEI PROFESSORA LINDOMAR DOMINGOS DA SILVA ANJOS</v>
      </c>
      <c r="H58" s="100" t="str">
        <f>IFERROR(__xludf.DUMMYFUNCTION("""COMPUTED_VALUE"""),"REGIONAL 5")</f>
        <v>REGIONAL 5</v>
      </c>
      <c r="I58" s="100"/>
      <c r="J58" s="100"/>
      <c r="K58" s="100"/>
      <c r="L58" s="100"/>
      <c r="M58" s="100"/>
      <c r="N58" s="100"/>
      <c r="O58" s="100"/>
      <c r="P58" s="100"/>
      <c r="Q58" s="100"/>
      <c r="R58" s="100"/>
      <c r="S58" s="100"/>
      <c r="T58" s="100"/>
      <c r="U58" s="100"/>
      <c r="V58" s="100"/>
      <c r="W58" s="100"/>
      <c r="X58" s="100"/>
      <c r="Y58" s="100"/>
      <c r="Z58" s="100"/>
    </row>
    <row r="59" ht="15.75" customHeight="1" spans="1:26">
      <c r="A59" s="100" t="str">
        <f>IFERROR(__xludf.DUMMYFUNCTION("""COMPUTED_VALUE"""),"28/01/2026 12:49:55")</f>
        <v>28/01/2026 12:49:55</v>
      </c>
      <c r="B59" s="101" t="str">
        <f>IFERROR(__xludf.DUMMYFUNCTION("""COMPUTED_VALUE"""),"11")</f>
        <v>11</v>
      </c>
      <c r="C59" s="100" t="str">
        <f>IFERROR(__xludf.DUMMYFUNCTION("""COMPUTED_VALUE"""),"KAYLLANY CECÍLIA FEITOZA SANTOS DA SILVA")</f>
        <v>KAYLLANY CECÍLIA FEITOZA SANTOS DA SILVA</v>
      </c>
      <c r="D59" s="100" t="str">
        <f>IFERROR(__xludf.DUMMYFUNCTION("""COMPUTED_VALUE"""),"10/09/2024")</f>
        <v>10/09/2024</v>
      </c>
      <c r="E59" s="100" t="str">
        <f>IFERROR(__xludf.DUMMYFUNCTION("""COMPUTED_VALUE"""),"004.046.764-30")</f>
        <v>004.046.764-30</v>
      </c>
      <c r="F59" s="100" t="str">
        <f>IFERROR(__xludf.DUMMYFUNCTION("""COMPUTED_VALUE"""),"INFANTIL 1")</f>
        <v>INFANTIL 1</v>
      </c>
      <c r="G59" s="100" t="str">
        <f>IFERROR(__xludf.DUMMYFUNCTION("""COMPUTED_VALUE"""),"CEMEI PROFESSORA LINDOMAR DOMINGOS DA SILVA ANJOS")</f>
        <v>CEMEI PROFESSORA LINDOMAR DOMINGOS DA SILVA ANJOS</v>
      </c>
      <c r="H59" s="100" t="str">
        <f>IFERROR(__xludf.DUMMYFUNCTION("""COMPUTED_VALUE"""),"REGIONAL 5")</f>
        <v>REGIONAL 5</v>
      </c>
      <c r="I59" s="100"/>
      <c r="J59" s="100"/>
      <c r="K59" s="100"/>
      <c r="L59" s="100"/>
      <c r="M59" s="100"/>
      <c r="N59" s="100"/>
      <c r="O59" s="100"/>
      <c r="P59" s="100"/>
      <c r="Q59" s="100"/>
      <c r="R59" s="100"/>
      <c r="S59" s="100"/>
      <c r="T59" s="100"/>
      <c r="U59" s="100"/>
      <c r="V59" s="100"/>
      <c r="W59" s="100"/>
      <c r="X59" s="100"/>
      <c r="Y59" s="100"/>
      <c r="Z59" s="100"/>
    </row>
    <row r="60" ht="15.75" customHeight="1" spans="1:26">
      <c r="A60" s="100" t="str">
        <f>IFERROR(__xludf.DUMMYFUNCTION("""COMPUTED_VALUE"""),"28/01/2026 20:34:21")</f>
        <v>28/01/2026 20:34:21</v>
      </c>
      <c r="B60" s="101" t="str">
        <f>IFERROR(__xludf.DUMMYFUNCTION("""COMPUTED_VALUE"""),"12")</f>
        <v>12</v>
      </c>
      <c r="C60" s="100" t="str">
        <f>IFERROR(__xludf.DUMMYFUNCTION("""COMPUTED_VALUE"""),"LUNNA HÊLOA PINHEIRO DOS SANTOS")</f>
        <v>LUNNA HÊLOA PINHEIRO DOS SANTOS</v>
      </c>
      <c r="D60" s="100" t="str">
        <f>IFERROR(__xludf.DUMMYFUNCTION("""COMPUTED_VALUE"""),"01/04/2024")</f>
        <v>01/04/2024</v>
      </c>
      <c r="E60" s="100" t="str">
        <f>IFERROR(__xludf.DUMMYFUNCTION("""COMPUTED_VALUE"""),"002.535.554-69")</f>
        <v>002.535.554-69</v>
      </c>
      <c r="F60" s="100" t="str">
        <f>IFERROR(__xludf.DUMMYFUNCTION("""COMPUTED_VALUE"""),"INFANTIL 1")</f>
        <v>INFANTIL 1</v>
      </c>
      <c r="G60" s="100" t="str">
        <f>IFERROR(__xludf.DUMMYFUNCTION("""COMPUTED_VALUE"""),"CEMEI PROFESSORA LINDOMAR DOMINGOS DA SILVA ANJOS")</f>
        <v>CEMEI PROFESSORA LINDOMAR DOMINGOS DA SILVA ANJOS</v>
      </c>
      <c r="H60" s="100" t="str">
        <f>IFERROR(__xludf.DUMMYFUNCTION("""COMPUTED_VALUE"""),"REGIONAL 5")</f>
        <v>REGIONAL 5</v>
      </c>
      <c r="I60" s="100"/>
      <c r="J60" s="100"/>
      <c r="K60" s="100"/>
      <c r="L60" s="100"/>
      <c r="M60" s="100"/>
      <c r="N60" s="100"/>
      <c r="O60" s="100"/>
      <c r="P60" s="100"/>
      <c r="Q60" s="100"/>
      <c r="R60" s="100"/>
      <c r="S60" s="100"/>
      <c r="T60" s="100"/>
      <c r="U60" s="100"/>
      <c r="V60" s="100"/>
      <c r="W60" s="100"/>
      <c r="X60" s="100"/>
      <c r="Y60" s="100"/>
      <c r="Z60" s="100"/>
    </row>
    <row r="61" ht="15.75" customHeight="1" spans="1:26">
      <c r="A61" s="100" t="str">
        <f>IFERROR(__xludf.DUMMYFUNCTION("""COMPUTED_VALUE"""),"06/02/2026 14:12:06")</f>
        <v>06/02/2026 14:12:06</v>
      </c>
      <c r="B61" s="101" t="str">
        <f>IFERROR(__xludf.DUMMYFUNCTION("""COMPUTED_VALUE"""),"13")</f>
        <v>13</v>
      </c>
      <c r="C61" s="100" t="str">
        <f>IFERROR(__xludf.DUMMYFUNCTION("""COMPUTED_VALUE"""),"VIVIANE MARIA DE SANTANA FERREIRA")</f>
        <v>VIVIANE MARIA DE SANTANA FERREIRA</v>
      </c>
      <c r="D61" s="100" t="str">
        <f>IFERROR(__xludf.DUMMYFUNCTION("""COMPUTED_VALUE"""),"16/04/2024")</f>
        <v>16/04/2024</v>
      </c>
      <c r="E61" s="100" t="str">
        <f>IFERROR(__xludf.DUMMYFUNCTION("""COMPUTED_VALUE"""),"003.219.974-09")</f>
        <v>003.219.974-09</v>
      </c>
      <c r="F61" s="100" t="str">
        <f>IFERROR(__xludf.DUMMYFUNCTION("""COMPUTED_VALUE"""),"INFANTIL 1")</f>
        <v>INFANTIL 1</v>
      </c>
      <c r="G61" s="100" t="str">
        <f>IFERROR(__xludf.DUMMYFUNCTION("""COMPUTED_VALUE"""),"CEMEI PROFESSORA LINDOMAR DOMINGOS DA SILVA ANJOS")</f>
        <v>CEMEI PROFESSORA LINDOMAR DOMINGOS DA SILVA ANJOS</v>
      </c>
      <c r="H61" s="100" t="str">
        <f>IFERROR(__xludf.DUMMYFUNCTION("""COMPUTED_VALUE"""),"REGIONAL 5")</f>
        <v>REGIONAL 5</v>
      </c>
      <c r="I61" s="100"/>
      <c r="J61" s="100"/>
      <c r="K61" s="100"/>
      <c r="L61" s="100"/>
      <c r="M61" s="100"/>
      <c r="N61" s="100"/>
      <c r="O61" s="100"/>
      <c r="P61" s="100"/>
      <c r="Q61" s="100"/>
      <c r="R61" s="100"/>
      <c r="S61" s="100"/>
      <c r="T61" s="100"/>
      <c r="U61" s="100"/>
      <c r="V61" s="100"/>
      <c r="W61" s="100"/>
      <c r="X61" s="100"/>
      <c r="Y61" s="100"/>
      <c r="Z61" s="100"/>
    </row>
    <row r="62" ht="15.75" customHeight="1" spans="1:26">
      <c r="A62" s="100" t="str">
        <f>IFERROR(__xludf.DUMMYFUNCTION("""COMPUTED_VALUE"""),"11/02/2026 09:26:12")</f>
        <v>11/02/2026 09:26:12</v>
      </c>
      <c r="B62" s="101" t="str">
        <f>IFERROR(__xludf.DUMMYFUNCTION("""COMPUTED_VALUE"""),"14")</f>
        <v>14</v>
      </c>
      <c r="C62" s="100" t="str">
        <f>IFERROR(__xludf.DUMMYFUNCTION("""COMPUTED_VALUE"""),"KAUANY ISABELLE DA SILVA SANTOS")</f>
        <v>KAUANY ISABELLE DA SILVA SANTOS</v>
      </c>
      <c r="D62" s="100" t="str">
        <f>IFERROR(__xludf.DUMMYFUNCTION("""COMPUTED_VALUE"""),"13/09/2024")</f>
        <v>13/09/2024</v>
      </c>
      <c r="E62" s="100" t="str">
        <f>IFERROR(__xludf.DUMMYFUNCTION("""COMPUTED_VALUE"""),"004.058.404-62")</f>
        <v>004.058.404-62</v>
      </c>
      <c r="F62" s="100" t="str">
        <f>IFERROR(__xludf.DUMMYFUNCTION("""COMPUTED_VALUE"""),"INFANTIL 1")</f>
        <v>INFANTIL 1</v>
      </c>
      <c r="G62" s="100" t="str">
        <f>IFERROR(__xludf.DUMMYFUNCTION("""COMPUTED_VALUE"""),"CEMEI PROFESSORA LINDOMAR DOMINGOS DA SILVA ANJOS")</f>
        <v>CEMEI PROFESSORA LINDOMAR DOMINGOS DA SILVA ANJOS</v>
      </c>
      <c r="H62" s="100" t="str">
        <f>IFERROR(__xludf.DUMMYFUNCTION("""COMPUTED_VALUE"""),"REGIONAL 5")</f>
        <v>REGIONAL 5</v>
      </c>
      <c r="I62" s="100"/>
      <c r="J62" s="100"/>
      <c r="K62" s="100"/>
      <c r="L62" s="100"/>
      <c r="M62" s="100"/>
      <c r="N62" s="100"/>
      <c r="O62" s="100"/>
      <c r="P62" s="100"/>
      <c r="Q62" s="100"/>
      <c r="R62" s="100"/>
      <c r="S62" s="100"/>
      <c r="T62" s="100"/>
      <c r="U62" s="100"/>
      <c r="V62" s="100"/>
      <c r="W62" s="100"/>
      <c r="X62" s="100"/>
      <c r="Y62" s="100"/>
      <c r="Z62" s="100"/>
    </row>
    <row r="63" ht="15.75" customHeight="1" spans="1:26">
      <c r="A63" s="100" t="str">
        <f>IFERROR(__xludf.DUMMYFUNCTION("""COMPUTED_VALUE"""),"26/02/2026 23:54:06")</f>
        <v>26/02/2026 23:54:06</v>
      </c>
      <c r="B63" s="101" t="str">
        <f>IFERROR(__xludf.DUMMYFUNCTION("""COMPUTED_VALUE"""),"15")</f>
        <v>15</v>
      </c>
      <c r="C63" s="100" t="str">
        <f>IFERROR(__xludf.DUMMYFUNCTION("""COMPUTED_VALUE"""),"ARTHUR MIGUEL DOS SANTOS ROCHA")</f>
        <v>ARTHUR MIGUEL DOS SANTOS ROCHA</v>
      </c>
      <c r="D63" s="100" t="str">
        <f>IFERROR(__xludf.DUMMYFUNCTION("""COMPUTED_VALUE"""),"21/01/2025")</f>
        <v>21/01/2025</v>
      </c>
      <c r="E63" s="100" t="str">
        <f>IFERROR(__xludf.DUMMYFUNCTION("""COMPUTED_VALUE"""),"005.161.924-50")</f>
        <v>005.161.924-50</v>
      </c>
      <c r="F63" s="100" t="str">
        <f>IFERROR(__xludf.DUMMYFUNCTION("""COMPUTED_VALUE"""),"INFANTIL 1")</f>
        <v>INFANTIL 1</v>
      </c>
      <c r="G63" s="100" t="str">
        <f>IFERROR(__xludf.DUMMYFUNCTION("""COMPUTED_VALUE"""),"CEMEI PROFESSORA LINDOMAR DOMINGOS DA SILVA ANJOS")</f>
        <v>CEMEI PROFESSORA LINDOMAR DOMINGOS DA SILVA ANJOS</v>
      </c>
      <c r="H63" s="100" t="str">
        <f>IFERROR(__xludf.DUMMYFUNCTION("""COMPUTED_VALUE"""),"REGIONAL 5")</f>
        <v>REGIONAL 5</v>
      </c>
      <c r="I63" s="100"/>
      <c r="J63" s="100"/>
      <c r="K63" s="100"/>
      <c r="L63" s="100"/>
      <c r="M63" s="100"/>
      <c r="N63" s="100"/>
      <c r="O63" s="100"/>
      <c r="P63" s="100"/>
      <c r="Q63" s="100"/>
      <c r="R63" s="100"/>
      <c r="S63" s="100"/>
      <c r="T63" s="100"/>
      <c r="U63" s="100"/>
      <c r="V63" s="100"/>
      <c r="W63" s="100"/>
      <c r="X63" s="100"/>
      <c r="Y63" s="100"/>
      <c r="Z63" s="100"/>
    </row>
    <row r="64" ht="15.75" customHeight="1" spans="1:26">
      <c r="A64" s="100" t="str">
        <f>IFERROR(__xludf.DUMMYFUNCTION("""COMPUTED_VALUE"""),"03/03/2026 13:59:55")</f>
        <v>03/03/2026 13:59:55</v>
      </c>
      <c r="B64" s="101" t="str">
        <f>IFERROR(__xludf.DUMMYFUNCTION("""COMPUTED_VALUE"""),"16")</f>
        <v>16</v>
      </c>
      <c r="C64" s="100" t="str">
        <f>IFERROR(__xludf.DUMMYFUNCTION("""COMPUTED_VALUE"""),"GAEL ANTÔNIO DEODATO DE MEDEIROS")</f>
        <v>GAEL ANTÔNIO DEODATO DE MEDEIROS</v>
      </c>
      <c r="D64" s="100" t="str">
        <f>IFERROR(__xludf.DUMMYFUNCTION("""COMPUTED_VALUE"""),"05/04/2025")</f>
        <v>05/04/2025</v>
      </c>
      <c r="E64" s="100" t="str">
        <f>IFERROR(__xludf.DUMMYFUNCTION("""COMPUTED_VALUE"""),"005.879.454-94")</f>
        <v>005.879.454-94</v>
      </c>
      <c r="F64" s="100" t="str">
        <f>IFERROR(__xludf.DUMMYFUNCTION("""COMPUTED_VALUE"""),"INFANTIL 1")</f>
        <v>INFANTIL 1</v>
      </c>
      <c r="G64" s="100" t="str">
        <f>IFERROR(__xludf.DUMMYFUNCTION("""COMPUTED_VALUE"""),"CEMEI PROFESSORA LINDOMAR DOMINGOS DA SILVA ANJOS")</f>
        <v>CEMEI PROFESSORA LINDOMAR DOMINGOS DA SILVA ANJOS</v>
      </c>
      <c r="H64" s="100" t="str">
        <f>IFERROR(__xludf.DUMMYFUNCTION("""COMPUTED_VALUE"""),"REGIONAL 5")</f>
        <v>REGIONAL 5</v>
      </c>
      <c r="I64" s="100"/>
      <c r="J64" s="100"/>
      <c r="K64" s="100"/>
      <c r="L64" s="100"/>
      <c r="M64" s="100"/>
      <c r="N64" s="100"/>
      <c r="O64" s="100"/>
      <c r="P64" s="100"/>
      <c r="Q64" s="100"/>
      <c r="R64" s="100"/>
      <c r="S64" s="100"/>
      <c r="T64" s="100"/>
      <c r="U64" s="100"/>
      <c r="V64" s="100"/>
      <c r="W64" s="100"/>
      <c r="X64" s="100"/>
      <c r="Y64" s="100"/>
      <c r="Z64" s="100"/>
    </row>
    <row r="65" ht="15.75" customHeight="1" spans="1:26">
      <c r="A65" s="100" t="str">
        <f>IFERROR(__xludf.DUMMYFUNCTION("""COMPUTED_VALUE"""),"04/03/2026 10:32:01")</f>
        <v>04/03/2026 10:32:01</v>
      </c>
      <c r="B65" s="101" t="str">
        <f>IFERROR(__xludf.DUMMYFUNCTION("""COMPUTED_VALUE"""),"17")</f>
        <v>17</v>
      </c>
      <c r="C65" s="100" t="str">
        <f>IFERROR(__xludf.DUMMYFUNCTION("""COMPUTED_VALUE"""),"NOAH DANIEL MEDEIROS DA SILVA")</f>
        <v>NOAH DANIEL MEDEIROS DA SILVA</v>
      </c>
      <c r="D65" s="100" t="str">
        <f>IFERROR(__xludf.DUMMYFUNCTION("""COMPUTED_VALUE"""),"21/05/2025")</f>
        <v>21/05/2025</v>
      </c>
      <c r="E65" s="100" t="str">
        <f>IFERROR(__xludf.DUMMYFUNCTION("""COMPUTED_VALUE"""),"006.309.024-45")</f>
        <v>006.309.024-45</v>
      </c>
      <c r="F65" s="100" t="str">
        <f>IFERROR(__xludf.DUMMYFUNCTION("""COMPUTED_VALUE"""),"INFANTIL 1")</f>
        <v>INFANTIL 1</v>
      </c>
      <c r="G65" s="100" t="str">
        <f>IFERROR(__xludf.DUMMYFUNCTION("""COMPUTED_VALUE"""),"CEMEI PROFESSORA LINDOMAR DOMINGOS DA SILVA ANJOS")</f>
        <v>CEMEI PROFESSORA LINDOMAR DOMINGOS DA SILVA ANJOS</v>
      </c>
      <c r="H65" s="100" t="str">
        <f>IFERROR(__xludf.DUMMYFUNCTION("""COMPUTED_VALUE"""),"REGIONAL 5")</f>
        <v>REGIONAL 5</v>
      </c>
      <c r="I65" s="100"/>
      <c r="J65" s="100"/>
      <c r="K65" s="100"/>
      <c r="L65" s="100"/>
      <c r="M65" s="100"/>
      <c r="N65" s="100"/>
      <c r="O65" s="100"/>
      <c r="P65" s="100"/>
      <c r="Q65" s="100"/>
      <c r="R65" s="100"/>
      <c r="S65" s="100"/>
      <c r="T65" s="100"/>
      <c r="U65" s="100"/>
      <c r="V65" s="100"/>
      <c r="W65" s="100"/>
      <c r="X65" s="100"/>
      <c r="Y65" s="100"/>
      <c r="Z65" s="100"/>
    </row>
    <row r="66" ht="15.75" customHeight="1" spans="1:26">
      <c r="A66" s="100" t="str">
        <f>IFERROR(__xludf.DUMMYFUNCTION("""COMPUTED_VALUE"""),"23/03/2026 12:35:29")</f>
        <v>23/03/2026 12:35:29</v>
      </c>
      <c r="B66" s="101" t="str">
        <f>IFERROR(__xludf.DUMMYFUNCTION("""COMPUTED_VALUE"""),"18")</f>
        <v>18</v>
      </c>
      <c r="C66" s="100" t="str">
        <f>IFERROR(__xludf.DUMMYFUNCTION("""COMPUTED_VALUE"""),"RAVI GABRIEL DA ROCHA PRAEIRO")</f>
        <v>RAVI GABRIEL DA ROCHA PRAEIRO</v>
      </c>
      <c r="D66" s="100" t="str">
        <f>IFERROR(__xludf.DUMMYFUNCTION("""COMPUTED_VALUE"""),"07/11/2025")</f>
        <v>07/11/2025</v>
      </c>
      <c r="E66" s="100" t="str">
        <f>IFERROR(__xludf.DUMMYFUNCTION("""COMPUTED_VALUE"""),"022.291.614-15")</f>
        <v>022.291.614-15</v>
      </c>
      <c r="F66" s="100" t="str">
        <f>IFERROR(__xludf.DUMMYFUNCTION("""COMPUTED_VALUE"""),"INFANTIL 1")</f>
        <v>INFANTIL 1</v>
      </c>
      <c r="G66" s="100" t="str">
        <f>IFERROR(__xludf.DUMMYFUNCTION("""COMPUTED_VALUE"""),"CEMEI PROFESSORA LINDOMAR DOMINGOS DA SILVA ANJOS")</f>
        <v>CEMEI PROFESSORA LINDOMAR DOMINGOS DA SILVA ANJOS</v>
      </c>
      <c r="H66" s="100" t="str">
        <f>IFERROR(__xludf.DUMMYFUNCTION("""COMPUTED_VALUE"""),"REGIONAL 5")</f>
        <v>REGIONAL 5</v>
      </c>
      <c r="I66" s="100"/>
      <c r="J66" s="100"/>
      <c r="K66" s="100"/>
      <c r="L66" s="100"/>
      <c r="M66" s="100"/>
      <c r="N66" s="100"/>
      <c r="O66" s="100"/>
      <c r="P66" s="100"/>
      <c r="Q66" s="100"/>
      <c r="R66" s="100"/>
      <c r="S66" s="100"/>
      <c r="T66" s="100"/>
      <c r="U66" s="100"/>
      <c r="V66" s="100"/>
      <c r="W66" s="100"/>
      <c r="X66" s="100"/>
      <c r="Y66" s="100"/>
      <c r="Z66" s="100"/>
    </row>
    <row r="67" ht="15.75" customHeight="1" spans="1:26">
      <c r="A67" s="100" t="str">
        <f>IFERROR(__xludf.DUMMYFUNCTION("""COMPUTED_VALUE"""),"30/03/2026 09:26:51")</f>
        <v>30/03/2026 09:26:51</v>
      </c>
      <c r="B67" s="101" t="str">
        <f>IFERROR(__xludf.DUMMYFUNCTION("""COMPUTED_VALUE"""),"19")</f>
        <v>19</v>
      </c>
      <c r="C67" s="100" t="str">
        <f>IFERROR(__xludf.DUMMYFUNCTION("""COMPUTED_VALUE"""),"FRANCISCO CAVALCANTI MAGALHÃES")</f>
        <v>FRANCISCO CAVALCANTI MAGALHÃES</v>
      </c>
      <c r="D67" s="100" t="str">
        <f>IFERROR(__xludf.DUMMYFUNCTION("""COMPUTED_VALUE"""),"26/11/2025")</f>
        <v>26/11/2025</v>
      </c>
      <c r="E67" s="100" t="str">
        <f>IFERROR(__xludf.DUMMYFUNCTION("""COMPUTED_VALUE"""),"027.792.694-72")</f>
        <v>027.792.694-72</v>
      </c>
      <c r="F67" s="100" t="str">
        <f>IFERROR(__xludf.DUMMYFUNCTION("""COMPUTED_VALUE"""),"INFANTIL 1")</f>
        <v>INFANTIL 1</v>
      </c>
      <c r="G67" s="100" t="str">
        <f>IFERROR(__xludf.DUMMYFUNCTION("""COMPUTED_VALUE"""),"CEMEI PROFESSORA LINDOMAR DOMINGOS DA SILVA ANJOS")</f>
        <v>CEMEI PROFESSORA LINDOMAR DOMINGOS DA SILVA ANJOS</v>
      </c>
      <c r="H67" s="100" t="str">
        <f>IFERROR(__xludf.DUMMYFUNCTION("""COMPUTED_VALUE"""),"REGIONAL 5")</f>
        <v>REGIONAL 5</v>
      </c>
      <c r="I67" s="100"/>
      <c r="J67" s="100"/>
      <c r="K67" s="100"/>
      <c r="L67" s="100"/>
      <c r="M67" s="100"/>
      <c r="N67" s="100"/>
      <c r="O67" s="100"/>
      <c r="P67" s="100"/>
      <c r="Q67" s="100"/>
      <c r="R67" s="100"/>
      <c r="S67" s="100"/>
      <c r="T67" s="100"/>
      <c r="U67" s="100"/>
      <c r="V67" s="100"/>
      <c r="W67" s="100"/>
      <c r="X67" s="100"/>
      <c r="Y67" s="100"/>
      <c r="Z67" s="100"/>
    </row>
    <row r="68" ht="15.75" customHeight="1" spans="1:26">
      <c r="A68" s="100" t="str">
        <f>IFERROR(__xludf.DUMMYFUNCTION("""COMPUTED_VALUE"""),"01/04/2026 11:07:18")</f>
        <v>01/04/2026 11:07:18</v>
      </c>
      <c r="B68" s="101" t="str">
        <f>IFERROR(__xludf.DUMMYFUNCTION("""COMPUTED_VALUE"""),"20")</f>
        <v>20</v>
      </c>
      <c r="C68" s="100" t="str">
        <f>IFERROR(__xludf.DUMMYFUNCTION("""COMPUTED_VALUE"""),"MARIA ISADORA SANTOS SEVERO")</f>
        <v>MARIA ISADORA SANTOS SEVERO</v>
      </c>
      <c r="D68" s="100" t="str">
        <f>IFERROR(__xludf.DUMMYFUNCTION("""COMPUTED_VALUE"""),"03/09/2024")</f>
        <v>03/09/2024</v>
      </c>
      <c r="E68" s="100" t="str">
        <f>IFERROR(__xludf.DUMMYFUNCTION("""COMPUTED_VALUE"""),"054.059.888-71")</f>
        <v>054.059.888-71</v>
      </c>
      <c r="F68" s="100" t="str">
        <f>IFERROR(__xludf.DUMMYFUNCTION("""COMPUTED_VALUE"""),"INFANTIL 1")</f>
        <v>INFANTIL 1</v>
      </c>
      <c r="G68" s="100" t="str">
        <f>IFERROR(__xludf.DUMMYFUNCTION("""COMPUTED_VALUE"""),"CEMEI PROFESSORA LINDOMAR DOMINGOS DA SILVA ANJOS")</f>
        <v>CEMEI PROFESSORA LINDOMAR DOMINGOS DA SILVA ANJOS</v>
      </c>
      <c r="H68" s="100" t="str">
        <f>IFERROR(__xludf.DUMMYFUNCTION("""COMPUTED_VALUE"""),"REGIONAL 5")</f>
        <v>REGIONAL 5</v>
      </c>
      <c r="I68" s="100"/>
      <c r="J68" s="100"/>
      <c r="K68" s="100"/>
      <c r="L68" s="100"/>
      <c r="M68" s="100"/>
      <c r="N68" s="100"/>
      <c r="O68" s="100"/>
      <c r="P68" s="100"/>
      <c r="Q68" s="100"/>
      <c r="R68" s="100"/>
      <c r="S68" s="100"/>
      <c r="T68" s="100"/>
      <c r="U68" s="100"/>
      <c r="V68" s="100"/>
      <c r="W68" s="100"/>
      <c r="X68" s="100"/>
      <c r="Y68" s="100"/>
      <c r="Z68" s="100"/>
    </row>
    <row r="69" ht="15.75" customHeight="1" spans="1:26">
      <c r="A69" s="100" t="str">
        <f>IFERROR(__xludf.DUMMYFUNCTION("""COMPUTED_VALUE"""),"08/04/2026 16:32:34")</f>
        <v>08/04/2026 16:32:34</v>
      </c>
      <c r="B69" s="101" t="str">
        <f>IFERROR(__xludf.DUMMYFUNCTION("""COMPUTED_VALUE"""),"21")</f>
        <v>21</v>
      </c>
      <c r="C69" s="100" t="str">
        <f>IFERROR(__xludf.DUMMYFUNCTION("""COMPUTED_VALUE"""),"MATTEO BERNARDO MONTEIRO ARAÚJO")</f>
        <v>MATTEO BERNARDO MONTEIRO ARAÚJO</v>
      </c>
      <c r="D69" s="100" t="str">
        <f>IFERROR(__xludf.DUMMYFUNCTION("""COMPUTED_VALUE"""),"01/04/2025")</f>
        <v>01/04/2025</v>
      </c>
      <c r="E69" s="100" t="str">
        <f>IFERROR(__xludf.DUMMYFUNCTION("""COMPUTED_VALUE"""),"005.825.614-85")</f>
        <v>005.825.614-85</v>
      </c>
      <c r="F69" s="100" t="str">
        <f>IFERROR(__xludf.DUMMYFUNCTION("""COMPUTED_VALUE"""),"INFANTIL 1")</f>
        <v>INFANTIL 1</v>
      </c>
      <c r="G69" s="100" t="str">
        <f>IFERROR(__xludf.DUMMYFUNCTION("""COMPUTED_VALUE"""),"CEMEI PROFESSORA LINDOMAR DOMINGOS DA SILVA ANJOS")</f>
        <v>CEMEI PROFESSORA LINDOMAR DOMINGOS DA SILVA ANJOS</v>
      </c>
      <c r="H69" s="100" t="str">
        <f>IFERROR(__xludf.DUMMYFUNCTION("""COMPUTED_VALUE"""),"REGIONAL 5")</f>
        <v>REGIONAL 5</v>
      </c>
      <c r="I69" s="100"/>
      <c r="J69" s="100"/>
      <c r="K69" s="100"/>
      <c r="L69" s="100"/>
      <c r="M69" s="100"/>
      <c r="N69" s="100"/>
      <c r="O69" s="100"/>
      <c r="P69" s="100"/>
      <c r="Q69" s="100"/>
      <c r="R69" s="100"/>
      <c r="S69" s="100"/>
      <c r="T69" s="100"/>
      <c r="U69" s="100"/>
      <c r="V69" s="100"/>
      <c r="W69" s="100"/>
      <c r="X69" s="100"/>
      <c r="Y69" s="100"/>
      <c r="Z69" s="100"/>
    </row>
    <row r="70" ht="15.75" customHeight="1" spans="1:26">
      <c r="A70" s="100" t="str">
        <f>IFERROR(__xludf.DUMMYFUNCTION("""COMPUTED_VALUE"""),"15/04/2026 13:07:53")</f>
        <v>15/04/2026 13:07:53</v>
      </c>
      <c r="B70" s="101" t="str">
        <f>IFERROR(__xludf.DUMMYFUNCTION("""COMPUTED_VALUE"""),"22")</f>
        <v>22</v>
      </c>
      <c r="C70" s="100" t="str">
        <f>IFERROR(__xludf.DUMMYFUNCTION("""COMPUTED_VALUE"""),"HADASSA ROSA MACIEL")</f>
        <v>HADASSA ROSA MACIEL</v>
      </c>
      <c r="D70" s="100" t="str">
        <f>IFERROR(__xludf.DUMMYFUNCTION("""COMPUTED_VALUE"""),"30/08/2025")</f>
        <v>30/08/2025</v>
      </c>
      <c r="E70" s="100" t="str">
        <f>IFERROR(__xludf.DUMMYFUNCTION("""COMPUTED_VALUE"""),"007.185.654-44")</f>
        <v>007.185.654-44</v>
      </c>
      <c r="F70" s="100" t="str">
        <f>IFERROR(__xludf.DUMMYFUNCTION("""COMPUTED_VALUE"""),"INFANTIL 1")</f>
        <v>INFANTIL 1</v>
      </c>
      <c r="G70" s="100" t="str">
        <f>IFERROR(__xludf.DUMMYFUNCTION("""COMPUTED_VALUE"""),"CEMEI PROFESSORA LINDOMAR DOMINGOS DA SILVA ANJOS")</f>
        <v>CEMEI PROFESSORA LINDOMAR DOMINGOS DA SILVA ANJOS</v>
      </c>
      <c r="H70" s="100" t="str">
        <f>IFERROR(__xludf.DUMMYFUNCTION("""COMPUTED_VALUE"""),"REGIONAL 5")</f>
        <v>REGIONAL 5</v>
      </c>
      <c r="I70" s="100"/>
      <c r="J70" s="100"/>
      <c r="K70" s="100"/>
      <c r="L70" s="100"/>
      <c r="M70" s="100"/>
      <c r="N70" s="100"/>
      <c r="O70" s="100"/>
      <c r="P70" s="100"/>
      <c r="Q70" s="100"/>
      <c r="R70" s="100"/>
      <c r="S70" s="100"/>
      <c r="T70" s="100"/>
      <c r="U70" s="100"/>
      <c r="V70" s="100"/>
      <c r="W70" s="100"/>
      <c r="X70" s="100"/>
      <c r="Y70" s="100"/>
      <c r="Z70" s="100"/>
    </row>
    <row r="71" ht="15.75" customHeight="1" spans="1:26">
      <c r="A71" s="100" t="str">
        <f>IFERROR(__xludf.DUMMYFUNCTION("""COMPUTED_VALUE"""),"04/05/2026 10:11:49")</f>
        <v>04/05/2026 10:11:49</v>
      </c>
      <c r="B71" s="101" t="str">
        <f>IFERROR(__xludf.DUMMYFUNCTION("""COMPUTED_VALUE"""),"23")</f>
        <v>23</v>
      </c>
      <c r="C71" s="100" t="str">
        <f>IFERROR(__xludf.DUMMYFUNCTION("""COMPUTED_VALUE"""),"MATTEO ALEJANDRO DE ARAÚJO ESCOBAR")</f>
        <v>MATTEO ALEJANDRO DE ARAÚJO ESCOBAR</v>
      </c>
      <c r="D71" s="100" t="str">
        <f>IFERROR(__xludf.DUMMYFUNCTION("""COMPUTED_VALUE"""),"11/03/2025")</f>
        <v>11/03/2025</v>
      </c>
      <c r="E71" s="100" t="str">
        <f>IFERROR(__xludf.DUMMYFUNCTION("""COMPUTED_VALUE"""),"005.682.884-59")</f>
        <v>005.682.884-59</v>
      </c>
      <c r="F71" s="100" t="str">
        <f>IFERROR(__xludf.DUMMYFUNCTION("""COMPUTED_VALUE"""),"INFANTIL 1")</f>
        <v>INFANTIL 1</v>
      </c>
      <c r="G71" s="100" t="str">
        <f>IFERROR(__xludf.DUMMYFUNCTION("""COMPUTED_VALUE"""),"CEMEI PROFESSORA LINDOMAR DOMINGOS DA SILVA ANJOS")</f>
        <v>CEMEI PROFESSORA LINDOMAR DOMINGOS DA SILVA ANJOS</v>
      </c>
      <c r="H71" s="100" t="str">
        <f>IFERROR(__xludf.DUMMYFUNCTION("""COMPUTED_VALUE"""),"REGIONAL 5")</f>
        <v>REGIONAL 5</v>
      </c>
      <c r="I71" s="100"/>
      <c r="J71" s="100"/>
      <c r="K71" s="100"/>
      <c r="L71" s="100"/>
      <c r="M71" s="100"/>
      <c r="N71" s="100"/>
      <c r="O71" s="100"/>
      <c r="P71" s="100"/>
      <c r="Q71" s="100"/>
      <c r="R71" s="100"/>
      <c r="S71" s="100"/>
      <c r="T71" s="100"/>
      <c r="U71" s="100"/>
      <c r="V71" s="100"/>
      <c r="W71" s="100"/>
      <c r="X71" s="100"/>
      <c r="Y71" s="100"/>
      <c r="Z71" s="100"/>
    </row>
    <row r="72" ht="15.75" customHeight="1" spans="1:26">
      <c r="A72" s="100" t="str">
        <f>IFERROR(__xludf.DUMMYFUNCTION("""COMPUTED_VALUE"""),"15/05/2026 11:54:29")</f>
        <v>15/05/2026 11:54:29</v>
      </c>
      <c r="B72" s="101" t="str">
        <f>IFERROR(__xludf.DUMMYFUNCTION("""COMPUTED_VALUE"""),"24")</f>
        <v>24</v>
      </c>
      <c r="C72" s="100" t="str">
        <f>IFERROR(__xludf.DUMMYFUNCTION("""COMPUTED_VALUE"""),"ARTHUR MIGUEL SOUZA DA SILVA")</f>
        <v>ARTHUR MIGUEL SOUZA DA SILVA</v>
      </c>
      <c r="D72" s="100" t="str">
        <f>IFERROR(__xludf.DUMMYFUNCTION("""COMPUTED_VALUE"""),"10/09/2024")</f>
        <v>10/09/2024</v>
      </c>
      <c r="E72" s="100" t="str">
        <f>IFERROR(__xludf.DUMMYFUNCTION("""COMPUTED_VALUE"""),"004.089.984-58")</f>
        <v>004.089.984-58</v>
      </c>
      <c r="F72" s="100" t="str">
        <f>IFERROR(__xludf.DUMMYFUNCTION("""COMPUTED_VALUE"""),"INFANTIL 1")</f>
        <v>INFANTIL 1</v>
      </c>
      <c r="G72" s="100" t="str">
        <f>IFERROR(__xludf.DUMMYFUNCTION("""COMPUTED_VALUE"""),"CEMEI PROFESSORA LINDOMAR DOMINGOS DA SILVA ANJOS")</f>
        <v>CEMEI PROFESSORA LINDOMAR DOMINGOS DA SILVA ANJOS</v>
      </c>
      <c r="H72" s="100" t="str">
        <f>IFERROR(__xludf.DUMMYFUNCTION("""COMPUTED_VALUE"""),"REGIONAL 5")</f>
        <v>REGIONAL 5</v>
      </c>
      <c r="I72" s="100"/>
      <c r="J72" s="100"/>
      <c r="K72" s="100"/>
      <c r="L72" s="100"/>
      <c r="M72" s="100"/>
      <c r="N72" s="100"/>
      <c r="O72" s="100"/>
      <c r="P72" s="100"/>
      <c r="Q72" s="100"/>
      <c r="R72" s="100"/>
      <c r="S72" s="100"/>
      <c r="T72" s="100"/>
      <c r="U72" s="100"/>
      <c r="V72" s="100"/>
      <c r="W72" s="100"/>
      <c r="X72" s="100"/>
      <c r="Y72" s="100"/>
      <c r="Z72" s="100"/>
    </row>
    <row r="73" ht="15.75" customHeight="1" spans="1:26">
      <c r="A73" s="100" t="str">
        <f>IFERROR(__xludf.DUMMYFUNCTION("""COMPUTED_VALUE"""),"15/05/2026 12:03:27")</f>
        <v>15/05/2026 12:03:27</v>
      </c>
      <c r="B73" s="101" t="str">
        <f>IFERROR(__xludf.DUMMYFUNCTION("""COMPUTED_VALUE"""),"25")</f>
        <v>25</v>
      </c>
      <c r="C73" s="100" t="str">
        <f>IFERROR(__xludf.DUMMYFUNCTION("""COMPUTED_VALUE"""),"AYLLA KAROLINE SOUZA DA SILVA")</f>
        <v>AYLLA KAROLINE SOUZA DA SILVA</v>
      </c>
      <c r="D73" s="100" t="str">
        <f>IFERROR(__xludf.DUMMYFUNCTION("""COMPUTED_VALUE"""),"10/09/2024")</f>
        <v>10/09/2024</v>
      </c>
      <c r="E73" s="100" t="str">
        <f>IFERROR(__xludf.DUMMYFUNCTION("""COMPUTED_VALUE"""),"004.089.794-02")</f>
        <v>004.089.794-02</v>
      </c>
      <c r="F73" s="100" t="str">
        <f>IFERROR(__xludf.DUMMYFUNCTION("""COMPUTED_VALUE"""),"INFANTIL 1")</f>
        <v>INFANTIL 1</v>
      </c>
      <c r="G73" s="100" t="str">
        <f>IFERROR(__xludf.DUMMYFUNCTION("""COMPUTED_VALUE"""),"CEMEI PROFESSORA LINDOMAR DOMINGOS DA SILVA ANJOS")</f>
        <v>CEMEI PROFESSORA LINDOMAR DOMINGOS DA SILVA ANJOS</v>
      </c>
      <c r="H73" s="100" t="str">
        <f>IFERROR(__xludf.DUMMYFUNCTION("""COMPUTED_VALUE"""),"REGIONAL 5")</f>
        <v>REGIONAL 5</v>
      </c>
      <c r="I73" s="100"/>
      <c r="J73" s="100"/>
      <c r="K73" s="100"/>
      <c r="L73" s="100"/>
      <c r="M73" s="100"/>
      <c r="N73" s="100"/>
      <c r="O73" s="100"/>
      <c r="P73" s="100"/>
      <c r="Q73" s="100"/>
      <c r="R73" s="100"/>
      <c r="S73" s="100"/>
      <c r="T73" s="100"/>
      <c r="U73" s="100"/>
      <c r="V73" s="100"/>
      <c r="W73" s="100"/>
      <c r="X73" s="100"/>
      <c r="Y73" s="100"/>
      <c r="Z73" s="100"/>
    </row>
    <row r="74" ht="15.75" customHeight="1" spans="1:26">
      <c r="A74" s="100" t="str">
        <f>IFERROR(__xludf.DUMMYFUNCTION("""COMPUTED_VALUE"""),"30/05/2026 11:24:31")</f>
        <v>30/05/2026 11:24:31</v>
      </c>
      <c r="B74" s="101" t="str">
        <f>IFERROR(__xludf.DUMMYFUNCTION("""COMPUTED_VALUE"""),"26")</f>
        <v>26</v>
      </c>
      <c r="C74" s="100" t="str">
        <f>IFERROR(__xludf.DUMMYFUNCTION("""COMPUTED_VALUE"""),"Natanael Ryan Felix de Santana")</f>
        <v>Natanael Ryan Felix de Santana</v>
      </c>
      <c r="D74" s="100" t="str">
        <f>IFERROR(__xludf.DUMMYFUNCTION("""COMPUTED_VALUE"""),"10/10/2024")</f>
        <v>10/10/2024</v>
      </c>
      <c r="E74" s="100" t="str">
        <f>IFERROR(__xludf.DUMMYFUNCTION("""COMPUTED_VALUE"""),"004.409.374-85")</f>
        <v>004.409.374-85</v>
      </c>
      <c r="F74" s="100" t="str">
        <f>IFERROR(__xludf.DUMMYFUNCTION("""COMPUTED_VALUE"""),"INFANTIL 1")</f>
        <v>INFANTIL 1</v>
      </c>
      <c r="G74" s="100" t="str">
        <f>IFERROR(__xludf.DUMMYFUNCTION("""COMPUTED_VALUE"""),"CEMEI PROFESSORA LINDOMAR DOMINGOS DA SILVA ANJOS")</f>
        <v>CEMEI PROFESSORA LINDOMAR DOMINGOS DA SILVA ANJOS</v>
      </c>
      <c r="H74" s="100" t="str">
        <f>IFERROR(__xludf.DUMMYFUNCTION("""COMPUTED_VALUE"""),"REGIONAL 5")</f>
        <v>REGIONAL 5</v>
      </c>
      <c r="I74" s="100"/>
      <c r="J74" s="100"/>
      <c r="K74" s="100"/>
      <c r="L74" s="100"/>
      <c r="M74" s="100"/>
      <c r="N74" s="100"/>
      <c r="O74" s="100"/>
      <c r="P74" s="100"/>
      <c r="Q74" s="100"/>
      <c r="R74" s="100"/>
      <c r="S74" s="100"/>
      <c r="T74" s="100"/>
      <c r="U74" s="100"/>
      <c r="V74" s="100"/>
      <c r="W74" s="100"/>
      <c r="X74" s="100"/>
      <c r="Y74" s="100"/>
      <c r="Z74" s="100"/>
    </row>
    <row r="75" ht="15.75" customHeight="1" spans="1:26">
      <c r="A75" s="100" t="str">
        <f>IFERROR(__xludf.DUMMYFUNCTION("""COMPUTED_VALUE"""),"28/01/2026 08:06:54")</f>
        <v>28/01/2026 08:06:54</v>
      </c>
      <c r="B75" s="101" t="str">
        <f>IFERROR(__xludf.DUMMYFUNCTION("""COMPUTED_VALUE"""),"1")</f>
        <v>1</v>
      </c>
      <c r="C75" s="100" t="str">
        <f>IFERROR(__xludf.DUMMYFUNCTION("""COMPUTED_VALUE"""),"ALYCIA MARIA FERREIRA LOPES")</f>
        <v>ALYCIA MARIA FERREIRA LOPES</v>
      </c>
      <c r="D75" s="100" t="str">
        <f>IFERROR(__xludf.DUMMYFUNCTION("""COMPUTED_VALUE"""),"06/04/2023")</f>
        <v>06/04/2023</v>
      </c>
      <c r="E75" s="100" t="str">
        <f>IFERROR(__xludf.DUMMYFUNCTION("""COMPUTED_VALUE"""),"185.002.054-07")</f>
        <v>185.002.054-07</v>
      </c>
      <c r="F75" s="100" t="str">
        <f>IFERROR(__xludf.DUMMYFUNCTION("""COMPUTED_VALUE"""),"INFANTIL 2")</f>
        <v>INFANTIL 2</v>
      </c>
      <c r="G75" s="100" t="str">
        <f>IFERROR(__xludf.DUMMYFUNCTION("""COMPUTED_VALUE"""),"CEMEI PROFESSORA LINDOMAR DOMINGOS DA SILVA ANJOS")</f>
        <v>CEMEI PROFESSORA LINDOMAR DOMINGOS DA SILVA ANJOS</v>
      </c>
      <c r="H75" s="100" t="str">
        <f>IFERROR(__xludf.DUMMYFUNCTION("""COMPUTED_VALUE"""),"REGIONAL 5")</f>
        <v>REGIONAL 5</v>
      </c>
      <c r="I75" s="100"/>
      <c r="J75" s="100"/>
      <c r="K75" s="100"/>
      <c r="L75" s="100"/>
      <c r="M75" s="100"/>
      <c r="N75" s="100"/>
      <c r="O75" s="100"/>
      <c r="P75" s="100"/>
      <c r="Q75" s="100"/>
      <c r="R75" s="100"/>
      <c r="S75" s="100"/>
      <c r="T75" s="100"/>
      <c r="U75" s="100"/>
      <c r="V75" s="100"/>
      <c r="W75" s="100"/>
      <c r="X75" s="100"/>
      <c r="Y75" s="100"/>
      <c r="Z75" s="100"/>
    </row>
    <row r="76" ht="15.75" customHeight="1" spans="1:26">
      <c r="A76" s="100" t="str">
        <f>IFERROR(__xludf.DUMMYFUNCTION("""COMPUTED_VALUE"""),"28/01/2026 08:08:24")</f>
        <v>28/01/2026 08:08:24</v>
      </c>
      <c r="B76" s="101" t="str">
        <f>IFERROR(__xludf.DUMMYFUNCTION("""COMPUTED_VALUE"""),"2")</f>
        <v>2</v>
      </c>
      <c r="C76" s="100" t="str">
        <f>IFERROR(__xludf.DUMMYFUNCTION("""COMPUTED_VALUE"""),"MIKAEL OLIVEIRA FERREIRA CAVALCANTE")</f>
        <v>MIKAEL OLIVEIRA FERREIRA CAVALCANTE</v>
      </c>
      <c r="D76" s="100" t="str">
        <f>IFERROR(__xludf.DUMMYFUNCTION("""COMPUTED_VALUE"""),"23/07/2023")</f>
        <v>23/07/2023</v>
      </c>
      <c r="E76" s="100" t="str">
        <f>IFERROR(__xludf.DUMMYFUNCTION("""COMPUTED_VALUE"""),"186.109.834-04")</f>
        <v>186.109.834-04</v>
      </c>
      <c r="F76" s="100" t="str">
        <f>IFERROR(__xludf.DUMMYFUNCTION("""COMPUTED_VALUE"""),"INFANTIL 2")</f>
        <v>INFANTIL 2</v>
      </c>
      <c r="G76" s="100" t="str">
        <f>IFERROR(__xludf.DUMMYFUNCTION("""COMPUTED_VALUE"""),"CEMEI PROFESSORA LINDOMAR DOMINGOS DA SILVA ANJOS")</f>
        <v>CEMEI PROFESSORA LINDOMAR DOMINGOS DA SILVA ANJOS</v>
      </c>
      <c r="H76" s="100" t="str">
        <f>IFERROR(__xludf.DUMMYFUNCTION("""COMPUTED_VALUE"""),"REGIONAL 5")</f>
        <v>REGIONAL 5</v>
      </c>
      <c r="I76" s="100"/>
      <c r="J76" s="100"/>
      <c r="K76" s="100"/>
      <c r="L76" s="100"/>
      <c r="M76" s="100"/>
      <c r="N76" s="100"/>
      <c r="O76" s="100"/>
      <c r="P76" s="100"/>
      <c r="Q76" s="100"/>
      <c r="R76" s="100"/>
      <c r="S76" s="100"/>
      <c r="T76" s="100"/>
      <c r="U76" s="100"/>
      <c r="V76" s="100"/>
      <c r="W76" s="100"/>
      <c r="X76" s="100"/>
      <c r="Y76" s="100"/>
      <c r="Z76" s="100"/>
    </row>
    <row r="77" ht="15.75" customHeight="1" spans="1:26">
      <c r="A77" s="100" t="str">
        <f>IFERROR(__xludf.DUMMYFUNCTION("""COMPUTED_VALUE"""),"28/01/2026 08:14:44")</f>
        <v>28/01/2026 08:14:44</v>
      </c>
      <c r="B77" s="101" t="str">
        <f>IFERROR(__xludf.DUMMYFUNCTION("""COMPUTED_VALUE"""),"3")</f>
        <v>3</v>
      </c>
      <c r="C77" s="100" t="str">
        <f>IFERROR(__xludf.DUMMYFUNCTION("""COMPUTED_VALUE"""),"SARAH BEATRIZ CORREIA RODRIGUES DA SILVA")</f>
        <v>SARAH BEATRIZ CORREIA RODRIGUES DA SILVA</v>
      </c>
      <c r="D77" s="100" t="str">
        <f>IFERROR(__xludf.DUMMYFUNCTION("""COMPUTED_VALUE"""),"07/06/2023")</f>
        <v>07/06/2023</v>
      </c>
      <c r="E77" s="100" t="str">
        <f>IFERROR(__xludf.DUMMYFUNCTION("""COMPUTED_VALUE"""),"185.680.884-06")</f>
        <v>185.680.884-06</v>
      </c>
      <c r="F77" s="100" t="str">
        <f>IFERROR(__xludf.DUMMYFUNCTION("""COMPUTED_VALUE"""),"INFANTIL 2")</f>
        <v>INFANTIL 2</v>
      </c>
      <c r="G77" s="100" t="str">
        <f>IFERROR(__xludf.DUMMYFUNCTION("""COMPUTED_VALUE"""),"CEMEI PROFESSORA LINDOMAR DOMINGOS DA SILVA ANJOS")</f>
        <v>CEMEI PROFESSORA LINDOMAR DOMINGOS DA SILVA ANJOS</v>
      </c>
      <c r="H77" s="100" t="str">
        <f>IFERROR(__xludf.DUMMYFUNCTION("""COMPUTED_VALUE"""),"REGIONAL 5")</f>
        <v>REGIONAL 5</v>
      </c>
      <c r="I77" s="100"/>
      <c r="J77" s="100"/>
      <c r="K77" s="100"/>
      <c r="L77" s="100"/>
      <c r="M77" s="100"/>
      <c r="N77" s="100"/>
      <c r="O77" s="100"/>
      <c r="P77" s="100"/>
      <c r="Q77" s="100"/>
      <c r="R77" s="100"/>
      <c r="S77" s="100"/>
      <c r="T77" s="100"/>
      <c r="U77" s="100"/>
      <c r="V77" s="100"/>
      <c r="W77" s="100"/>
      <c r="X77" s="100"/>
      <c r="Y77" s="100"/>
      <c r="Z77" s="100"/>
    </row>
    <row r="78" ht="15.75" customHeight="1" spans="1:26">
      <c r="A78" s="100" t="str">
        <f>IFERROR(__xludf.DUMMYFUNCTION("""COMPUTED_VALUE"""),"28/01/2026 08:17:19")</f>
        <v>28/01/2026 08:17:19</v>
      </c>
      <c r="B78" s="101" t="str">
        <f>IFERROR(__xludf.DUMMYFUNCTION("""COMPUTED_VALUE"""),"4")</f>
        <v>4</v>
      </c>
      <c r="C78" s="100" t="str">
        <f>IFERROR(__xludf.DUMMYFUNCTION("""COMPUTED_VALUE"""),"LAURA MARIAH TEIXEIRA SILVA")</f>
        <v>LAURA MARIAH TEIXEIRA SILVA</v>
      </c>
      <c r="D78" s="100" t="str">
        <f>IFERROR(__xludf.DUMMYFUNCTION("""COMPUTED_VALUE"""),"18/02/2024")</f>
        <v>18/02/2024</v>
      </c>
      <c r="E78" s="100" t="str">
        <f>IFERROR(__xludf.DUMMYFUNCTION("""COMPUTED_VALUE"""),"002.969.484-11")</f>
        <v>002.969.484-11</v>
      </c>
      <c r="F78" s="100" t="str">
        <f>IFERROR(__xludf.DUMMYFUNCTION("""COMPUTED_VALUE"""),"INFANTIL 2")</f>
        <v>INFANTIL 2</v>
      </c>
      <c r="G78" s="100" t="str">
        <f>IFERROR(__xludf.DUMMYFUNCTION("""COMPUTED_VALUE"""),"CEMEI PROFESSORA LINDOMAR DOMINGOS DA SILVA ANJOS")</f>
        <v>CEMEI PROFESSORA LINDOMAR DOMINGOS DA SILVA ANJOS</v>
      </c>
      <c r="H78" s="100" t="str">
        <f>IFERROR(__xludf.DUMMYFUNCTION("""COMPUTED_VALUE"""),"REGIONAL 5")</f>
        <v>REGIONAL 5</v>
      </c>
      <c r="I78" s="100"/>
      <c r="J78" s="100"/>
      <c r="K78" s="100"/>
      <c r="L78" s="100"/>
      <c r="M78" s="100"/>
      <c r="N78" s="100"/>
      <c r="O78" s="100"/>
      <c r="P78" s="100"/>
      <c r="Q78" s="100"/>
      <c r="R78" s="100"/>
      <c r="S78" s="100"/>
      <c r="T78" s="100"/>
      <c r="U78" s="100"/>
      <c r="V78" s="100"/>
      <c r="W78" s="100"/>
      <c r="X78" s="100"/>
      <c r="Y78" s="100"/>
      <c r="Z78" s="100"/>
    </row>
    <row r="79" ht="15.75" customHeight="1" spans="1:26">
      <c r="A79" s="100" t="str">
        <f>IFERROR(__xludf.DUMMYFUNCTION("""COMPUTED_VALUE"""),"28/01/2026 08:25:56")</f>
        <v>28/01/2026 08:25:56</v>
      </c>
      <c r="B79" s="101" t="str">
        <f>IFERROR(__xludf.DUMMYFUNCTION("""COMPUTED_VALUE"""),"5")</f>
        <v>5</v>
      </c>
      <c r="C79" s="100" t="str">
        <f>IFERROR(__xludf.DUMMYFUNCTION("""COMPUTED_VALUE"""),"MARIA GABRIELA DA SILVA PORFIRIO ALVES")</f>
        <v>MARIA GABRIELA DA SILVA PORFIRIO ALVES</v>
      </c>
      <c r="D79" s="100" t="str">
        <f>IFERROR(__xludf.DUMMYFUNCTION("""COMPUTED_VALUE"""),"15/05/2023")</f>
        <v>15/05/2023</v>
      </c>
      <c r="E79" s="100" t="str">
        <f>IFERROR(__xludf.DUMMYFUNCTION("""COMPUTED_VALUE"""),"185.992.474-33")</f>
        <v>185.992.474-33</v>
      </c>
      <c r="F79" s="100" t="str">
        <f>IFERROR(__xludf.DUMMYFUNCTION("""COMPUTED_VALUE"""),"INFANTIL 2")</f>
        <v>INFANTIL 2</v>
      </c>
      <c r="G79" s="100" t="str">
        <f>IFERROR(__xludf.DUMMYFUNCTION("""COMPUTED_VALUE"""),"CEMEI PROFESSORA LINDOMAR DOMINGOS DA SILVA ANJOS")</f>
        <v>CEMEI PROFESSORA LINDOMAR DOMINGOS DA SILVA ANJOS</v>
      </c>
      <c r="H79" s="100" t="str">
        <f>IFERROR(__xludf.DUMMYFUNCTION("""COMPUTED_VALUE"""),"REGIONAL 5")</f>
        <v>REGIONAL 5</v>
      </c>
      <c r="I79" s="100"/>
      <c r="J79" s="100"/>
      <c r="K79" s="100"/>
      <c r="L79" s="100"/>
      <c r="M79" s="100"/>
      <c r="N79" s="100"/>
      <c r="O79" s="100"/>
      <c r="P79" s="100"/>
      <c r="Q79" s="100"/>
      <c r="R79" s="100"/>
      <c r="S79" s="100"/>
      <c r="T79" s="100"/>
      <c r="U79" s="100"/>
      <c r="V79" s="100"/>
      <c r="W79" s="100"/>
      <c r="X79" s="100"/>
      <c r="Y79" s="100"/>
      <c r="Z79" s="100"/>
    </row>
    <row r="80" ht="15.75" customHeight="1" spans="1:26">
      <c r="A80" s="100" t="str">
        <f>IFERROR(__xludf.DUMMYFUNCTION("""COMPUTED_VALUE"""),"28/01/2026 08:25:59")</f>
        <v>28/01/2026 08:25:59</v>
      </c>
      <c r="B80" s="101" t="str">
        <f>IFERROR(__xludf.DUMMYFUNCTION("""COMPUTED_VALUE"""),"6")</f>
        <v>6</v>
      </c>
      <c r="C80" s="100" t="str">
        <f>IFERROR(__xludf.DUMMYFUNCTION("""COMPUTED_VALUE"""),"EMILLY BEATRIZ SANTOS")</f>
        <v>EMILLY BEATRIZ SANTOS</v>
      </c>
      <c r="D80" s="100" t="str">
        <f>IFERROR(__xludf.DUMMYFUNCTION("""COMPUTED_VALUE"""),"12/12/2023")</f>
        <v>12/12/2023</v>
      </c>
      <c r="E80" s="100" t="str">
        <f>IFERROR(__xludf.DUMMYFUNCTION("""COMPUTED_VALUE"""),"002.613.284-25")</f>
        <v>002.613.284-25</v>
      </c>
      <c r="F80" s="100" t="str">
        <f>IFERROR(__xludf.DUMMYFUNCTION("""COMPUTED_VALUE"""),"INFANTIL 2")</f>
        <v>INFANTIL 2</v>
      </c>
      <c r="G80" s="100" t="str">
        <f>IFERROR(__xludf.DUMMYFUNCTION("""COMPUTED_VALUE"""),"CEMEI PROFESSORA LINDOMAR DOMINGOS DA SILVA ANJOS")</f>
        <v>CEMEI PROFESSORA LINDOMAR DOMINGOS DA SILVA ANJOS</v>
      </c>
      <c r="H80" s="100" t="str">
        <f>IFERROR(__xludf.DUMMYFUNCTION("""COMPUTED_VALUE"""),"REGIONAL 5")</f>
        <v>REGIONAL 5</v>
      </c>
      <c r="I80" s="100"/>
      <c r="J80" s="100"/>
      <c r="K80" s="100"/>
      <c r="L80" s="100"/>
      <c r="M80" s="100"/>
      <c r="N80" s="100"/>
      <c r="O80" s="100"/>
      <c r="P80" s="100"/>
      <c r="Q80" s="100"/>
      <c r="R80" s="100"/>
      <c r="S80" s="100"/>
      <c r="T80" s="100"/>
      <c r="U80" s="100"/>
      <c r="V80" s="100"/>
      <c r="W80" s="100"/>
      <c r="X80" s="100"/>
      <c r="Y80" s="100"/>
      <c r="Z80" s="100"/>
    </row>
    <row r="81" ht="15.75" customHeight="1" spans="1:26">
      <c r="A81" s="100" t="str">
        <f>IFERROR(__xludf.DUMMYFUNCTION("""COMPUTED_VALUE"""),"28/01/2026 08:31:41")</f>
        <v>28/01/2026 08:31:41</v>
      </c>
      <c r="B81" s="101" t="str">
        <f>IFERROR(__xludf.DUMMYFUNCTION("""COMPUTED_VALUE"""),"7")</f>
        <v>7</v>
      </c>
      <c r="C81" s="100" t="str">
        <f>IFERROR(__xludf.DUMMYFUNCTION("""COMPUTED_VALUE"""),"LEVY MATHEUS SANTOS LINS")</f>
        <v>LEVY MATHEUS SANTOS LINS</v>
      </c>
      <c r="D81" s="100" t="str">
        <f>IFERROR(__xludf.DUMMYFUNCTION("""COMPUTED_VALUE"""),"25/01/2024")</f>
        <v>25/01/2024</v>
      </c>
      <c r="E81" s="100" t="str">
        <f>IFERROR(__xludf.DUMMYFUNCTION("""COMPUTED_VALUE"""),"001.763.444-03")</f>
        <v>001.763.444-03</v>
      </c>
      <c r="F81" s="100" t="str">
        <f>IFERROR(__xludf.DUMMYFUNCTION("""COMPUTED_VALUE"""),"INFANTIL 2")</f>
        <v>INFANTIL 2</v>
      </c>
      <c r="G81" s="100" t="str">
        <f>IFERROR(__xludf.DUMMYFUNCTION("""COMPUTED_VALUE"""),"CEMEI PROFESSORA LINDOMAR DOMINGOS DA SILVA ANJOS")</f>
        <v>CEMEI PROFESSORA LINDOMAR DOMINGOS DA SILVA ANJOS</v>
      </c>
      <c r="H81" s="100" t="str">
        <f>IFERROR(__xludf.DUMMYFUNCTION("""COMPUTED_VALUE"""),"REGIONAL 5")</f>
        <v>REGIONAL 5</v>
      </c>
      <c r="I81" s="100"/>
      <c r="J81" s="100"/>
      <c r="K81" s="100"/>
      <c r="L81" s="100"/>
      <c r="M81" s="100"/>
      <c r="N81" s="100"/>
      <c r="O81" s="100"/>
      <c r="P81" s="100"/>
      <c r="Q81" s="100"/>
      <c r="R81" s="100"/>
      <c r="S81" s="100"/>
      <c r="T81" s="100"/>
      <c r="U81" s="100"/>
      <c r="V81" s="100"/>
      <c r="W81" s="100"/>
      <c r="X81" s="100"/>
      <c r="Y81" s="100"/>
      <c r="Z81" s="100"/>
    </row>
    <row r="82" ht="15.75" customHeight="1" spans="1:26">
      <c r="A82" s="100" t="str">
        <f>IFERROR(__xludf.DUMMYFUNCTION("""COMPUTED_VALUE"""),"28/01/2026 09:00:15")</f>
        <v>28/01/2026 09:00:15</v>
      </c>
      <c r="B82" s="101" t="str">
        <f>IFERROR(__xludf.DUMMYFUNCTION("""COMPUTED_VALUE"""),"8")</f>
        <v>8</v>
      </c>
      <c r="C82" s="100" t="str">
        <f>IFERROR(__xludf.DUMMYFUNCTION("""COMPUTED_VALUE"""),"HELLOYSA MARIA CAVALCANTE DE LEMOS")</f>
        <v>HELLOYSA MARIA CAVALCANTE DE LEMOS</v>
      </c>
      <c r="D82" s="100" t="str">
        <f>IFERROR(__xludf.DUMMYFUNCTION("""COMPUTED_VALUE"""),"21/12/2023")</f>
        <v>21/12/2023</v>
      </c>
      <c r="E82" s="100" t="str">
        <f>IFERROR(__xludf.DUMMYFUNCTION("""COMPUTED_VALUE"""),"001.593.854-90")</f>
        <v>001.593.854-90</v>
      </c>
      <c r="F82" s="100" t="str">
        <f>IFERROR(__xludf.DUMMYFUNCTION("""COMPUTED_VALUE"""),"INFANTIL 2")</f>
        <v>INFANTIL 2</v>
      </c>
      <c r="G82" s="100" t="str">
        <f>IFERROR(__xludf.DUMMYFUNCTION("""COMPUTED_VALUE"""),"CEMEI PROFESSORA LINDOMAR DOMINGOS DA SILVA ANJOS")</f>
        <v>CEMEI PROFESSORA LINDOMAR DOMINGOS DA SILVA ANJOS</v>
      </c>
      <c r="H82" s="100" t="str">
        <f>IFERROR(__xludf.DUMMYFUNCTION("""COMPUTED_VALUE"""),"REGIONAL 5")</f>
        <v>REGIONAL 5</v>
      </c>
      <c r="I82" s="100"/>
      <c r="J82" s="100"/>
      <c r="K82" s="100"/>
      <c r="L82" s="100"/>
      <c r="M82" s="100"/>
      <c r="N82" s="100"/>
      <c r="O82" s="100"/>
      <c r="P82" s="100"/>
      <c r="Q82" s="100"/>
      <c r="R82" s="100"/>
      <c r="S82" s="100"/>
      <c r="T82" s="100"/>
      <c r="U82" s="100"/>
      <c r="V82" s="100"/>
      <c r="W82" s="100"/>
      <c r="X82" s="100"/>
      <c r="Y82" s="100"/>
      <c r="Z82" s="100"/>
    </row>
    <row r="83" ht="15.75" customHeight="1" spans="1:26">
      <c r="A83" s="100" t="str">
        <f>IFERROR(__xludf.DUMMYFUNCTION("""COMPUTED_VALUE"""),"28/01/2026 09:08:41")</f>
        <v>28/01/2026 09:08:41</v>
      </c>
      <c r="B83" s="101" t="str">
        <f>IFERROR(__xludf.DUMMYFUNCTION("""COMPUTED_VALUE"""),"9")</f>
        <v>9</v>
      </c>
      <c r="C83" s="100" t="str">
        <f>IFERROR(__xludf.DUMMYFUNCTION("""COMPUTED_VALUE"""),"THÉO VINÍCIUS DA SILVA FERNANDES")</f>
        <v>THÉO VINÍCIUS DA SILVA FERNANDES</v>
      </c>
      <c r="D83" s="100" t="str">
        <f>IFERROR(__xludf.DUMMYFUNCTION("""COMPUTED_VALUE"""),"04/08/2023")</f>
        <v>04/08/2023</v>
      </c>
      <c r="E83" s="100" t="str">
        <f>IFERROR(__xludf.DUMMYFUNCTION("""COMPUTED_VALUE"""),"186.161.124-21")</f>
        <v>186.161.124-21</v>
      </c>
      <c r="F83" s="100" t="str">
        <f>IFERROR(__xludf.DUMMYFUNCTION("""COMPUTED_VALUE"""),"INFANTIL 2")</f>
        <v>INFANTIL 2</v>
      </c>
      <c r="G83" s="100" t="str">
        <f>IFERROR(__xludf.DUMMYFUNCTION("""COMPUTED_VALUE"""),"CEMEI PROFESSORA LINDOMAR DOMINGOS DA SILVA ANJOS")</f>
        <v>CEMEI PROFESSORA LINDOMAR DOMINGOS DA SILVA ANJOS</v>
      </c>
      <c r="H83" s="100" t="str">
        <f>IFERROR(__xludf.DUMMYFUNCTION("""COMPUTED_VALUE"""),"REGIONAL 5")</f>
        <v>REGIONAL 5</v>
      </c>
      <c r="I83" s="100"/>
      <c r="J83" s="100"/>
      <c r="K83" s="100"/>
      <c r="L83" s="100"/>
      <c r="M83" s="100"/>
      <c r="N83" s="100"/>
      <c r="O83" s="100"/>
      <c r="P83" s="100"/>
      <c r="Q83" s="100"/>
      <c r="R83" s="100"/>
      <c r="S83" s="100"/>
      <c r="T83" s="100"/>
      <c r="U83" s="100"/>
      <c r="V83" s="100"/>
      <c r="W83" s="100"/>
      <c r="X83" s="100"/>
      <c r="Y83" s="100"/>
      <c r="Z83" s="100"/>
    </row>
    <row r="84" ht="15.75" customHeight="1" spans="1:26">
      <c r="A84" s="100" t="str">
        <f>IFERROR(__xludf.DUMMYFUNCTION("""COMPUTED_VALUE"""),"28/01/2026 09:29:37")</f>
        <v>28/01/2026 09:29:37</v>
      </c>
      <c r="B84" s="101" t="str">
        <f>IFERROR(__xludf.DUMMYFUNCTION("""COMPUTED_VALUE"""),"10")</f>
        <v>10</v>
      </c>
      <c r="C84" s="100" t="str">
        <f>IFERROR(__xludf.DUMMYFUNCTION("""COMPUTED_VALUE"""),"MAITÊ FERNANDA DA SILVA")</f>
        <v>MAITÊ FERNANDA DA SILVA</v>
      </c>
      <c r="D84" s="100" t="str">
        <f>IFERROR(__xludf.DUMMYFUNCTION("""COMPUTED_VALUE"""),"30/12/2023")</f>
        <v>30/12/2023</v>
      </c>
      <c r="E84" s="100" t="str">
        <f>IFERROR(__xludf.DUMMYFUNCTION("""COMPUTED_VALUE"""),"001.588.084-28")</f>
        <v>001.588.084-28</v>
      </c>
      <c r="F84" s="100" t="str">
        <f>IFERROR(__xludf.DUMMYFUNCTION("""COMPUTED_VALUE"""),"INFANTIL 2")</f>
        <v>INFANTIL 2</v>
      </c>
      <c r="G84" s="100" t="str">
        <f>IFERROR(__xludf.DUMMYFUNCTION("""COMPUTED_VALUE"""),"CEMEI PROFESSORA LINDOMAR DOMINGOS DA SILVA ANJOS")</f>
        <v>CEMEI PROFESSORA LINDOMAR DOMINGOS DA SILVA ANJOS</v>
      </c>
      <c r="H84" s="100" t="str">
        <f>IFERROR(__xludf.DUMMYFUNCTION("""COMPUTED_VALUE"""),"REGIONAL 5")</f>
        <v>REGIONAL 5</v>
      </c>
      <c r="I84" s="100"/>
      <c r="J84" s="100"/>
      <c r="K84" s="100"/>
      <c r="L84" s="100"/>
      <c r="M84" s="100"/>
      <c r="N84" s="100"/>
      <c r="O84" s="100"/>
      <c r="P84" s="100"/>
      <c r="Q84" s="100"/>
      <c r="R84" s="100"/>
      <c r="S84" s="100"/>
      <c r="T84" s="100"/>
      <c r="U84" s="100"/>
      <c r="V84" s="100"/>
      <c r="W84" s="100"/>
      <c r="X84" s="100"/>
      <c r="Y84" s="100"/>
      <c r="Z84" s="100"/>
    </row>
    <row r="85" ht="15.75" customHeight="1" spans="1:26">
      <c r="A85" s="100" t="str">
        <f>IFERROR(__xludf.DUMMYFUNCTION("""COMPUTED_VALUE"""),"28/01/2026 10:56:41")</f>
        <v>28/01/2026 10:56:41</v>
      </c>
      <c r="B85" s="101" t="str">
        <f>IFERROR(__xludf.DUMMYFUNCTION("""COMPUTED_VALUE"""),"11")</f>
        <v>11</v>
      </c>
      <c r="C85" s="100" t="str">
        <f>IFERROR(__xludf.DUMMYFUNCTION("""COMPUTED_VALUE"""),"YSIS SILVA RAMOS")</f>
        <v>YSIS SILVA RAMOS</v>
      </c>
      <c r="D85" s="100" t="str">
        <f>IFERROR(__xludf.DUMMYFUNCTION("""COMPUTED_VALUE"""),"11/10/2023")</f>
        <v>11/10/2023</v>
      </c>
      <c r="E85" s="100" t="str">
        <f>IFERROR(__xludf.DUMMYFUNCTION("""COMPUTED_VALUE"""),"000.422.384-55")</f>
        <v>000.422.384-55</v>
      </c>
      <c r="F85" s="100" t="str">
        <f>IFERROR(__xludf.DUMMYFUNCTION("""COMPUTED_VALUE"""),"INFANTIL 2")</f>
        <v>INFANTIL 2</v>
      </c>
      <c r="G85" s="100" t="str">
        <f>IFERROR(__xludf.DUMMYFUNCTION("""COMPUTED_VALUE"""),"CEMEI PROFESSORA LINDOMAR DOMINGOS DA SILVA ANJOS")</f>
        <v>CEMEI PROFESSORA LINDOMAR DOMINGOS DA SILVA ANJOS</v>
      </c>
      <c r="H85" s="100" t="str">
        <f>IFERROR(__xludf.DUMMYFUNCTION("""COMPUTED_VALUE"""),"REGIONAL 5")</f>
        <v>REGIONAL 5</v>
      </c>
      <c r="I85" s="100"/>
      <c r="J85" s="100"/>
      <c r="K85" s="100"/>
      <c r="L85" s="100"/>
      <c r="M85" s="100"/>
      <c r="N85" s="100"/>
      <c r="O85" s="100"/>
      <c r="P85" s="100"/>
      <c r="Q85" s="100"/>
      <c r="R85" s="100"/>
      <c r="S85" s="100"/>
      <c r="T85" s="100"/>
      <c r="U85" s="100"/>
      <c r="V85" s="100"/>
      <c r="W85" s="100"/>
      <c r="X85" s="100"/>
      <c r="Y85" s="100"/>
      <c r="Z85" s="100"/>
    </row>
    <row r="86" ht="15.75" customHeight="1" spans="1:26">
      <c r="A86" s="100" t="str">
        <f>IFERROR(__xludf.DUMMYFUNCTION("""COMPUTED_VALUE"""),"28/01/2026 11:08:50")</f>
        <v>28/01/2026 11:08:50</v>
      </c>
      <c r="B86" s="101" t="str">
        <f>IFERROR(__xludf.DUMMYFUNCTION("""COMPUTED_VALUE"""),"12")</f>
        <v>12</v>
      </c>
      <c r="C86" s="100" t="str">
        <f>IFERROR(__xludf.DUMMYFUNCTION("""COMPUTED_VALUE"""),"AINOANA VITÓRIA")</f>
        <v>AINOANA VITÓRIA</v>
      </c>
      <c r="D86" s="100" t="str">
        <f>IFERROR(__xludf.DUMMYFUNCTION("""COMPUTED_VALUE"""),"28/07/2023")</f>
        <v>28/07/2023</v>
      </c>
      <c r="E86" s="100" t="str">
        <f>IFERROR(__xludf.DUMMYFUNCTION("""COMPUTED_VALUE"""),"157.026.924-62")</f>
        <v>157.026.924-62</v>
      </c>
      <c r="F86" s="100" t="str">
        <f>IFERROR(__xludf.DUMMYFUNCTION("""COMPUTED_VALUE"""),"INFANTIL 2")</f>
        <v>INFANTIL 2</v>
      </c>
      <c r="G86" s="100" t="str">
        <f>IFERROR(__xludf.DUMMYFUNCTION("""COMPUTED_VALUE"""),"CEMEI PROFESSORA LINDOMAR DOMINGOS DA SILVA ANJOS")</f>
        <v>CEMEI PROFESSORA LINDOMAR DOMINGOS DA SILVA ANJOS</v>
      </c>
      <c r="H86" s="100" t="str">
        <f>IFERROR(__xludf.DUMMYFUNCTION("""COMPUTED_VALUE"""),"REGIONAL 5")</f>
        <v>REGIONAL 5</v>
      </c>
      <c r="I86" s="100"/>
      <c r="J86" s="100"/>
      <c r="K86" s="100"/>
      <c r="L86" s="100"/>
      <c r="M86" s="100"/>
      <c r="N86" s="100"/>
      <c r="O86" s="100"/>
      <c r="P86" s="100"/>
      <c r="Q86" s="100"/>
      <c r="R86" s="100"/>
      <c r="S86" s="100"/>
      <c r="T86" s="100"/>
      <c r="U86" s="100"/>
      <c r="V86" s="100"/>
      <c r="W86" s="100"/>
      <c r="X86" s="100"/>
      <c r="Y86" s="100"/>
      <c r="Z86" s="100"/>
    </row>
    <row r="87" ht="15.75" customHeight="1" spans="1:26">
      <c r="A87" s="100" t="str">
        <f>IFERROR(__xludf.DUMMYFUNCTION("""COMPUTED_VALUE"""),"28/01/2026 12:27:56")</f>
        <v>28/01/2026 12:27:56</v>
      </c>
      <c r="B87" s="101" t="str">
        <f>IFERROR(__xludf.DUMMYFUNCTION("""COMPUTED_VALUE"""),"13")</f>
        <v>13</v>
      </c>
      <c r="C87" s="100" t="str">
        <f>IFERROR(__xludf.DUMMYFUNCTION("""COMPUTED_VALUE"""),"MANASSÉS MESSIAS DOS SANTOS COSTA")</f>
        <v>MANASSÉS MESSIAS DOS SANTOS COSTA</v>
      </c>
      <c r="D87" s="100" t="str">
        <f>IFERROR(__xludf.DUMMYFUNCTION("""COMPUTED_VALUE"""),"10/06/2023")</f>
        <v>10/06/2023</v>
      </c>
      <c r="E87" s="100" t="str">
        <f>IFERROR(__xludf.DUMMYFUNCTION("""COMPUTED_VALUE"""),"185.866.824-70")</f>
        <v>185.866.824-70</v>
      </c>
      <c r="F87" s="100" t="str">
        <f>IFERROR(__xludf.DUMMYFUNCTION("""COMPUTED_VALUE"""),"INFANTIL 2")</f>
        <v>INFANTIL 2</v>
      </c>
      <c r="G87" s="100" t="str">
        <f>IFERROR(__xludf.DUMMYFUNCTION("""COMPUTED_VALUE"""),"CEMEI PROFESSORA LINDOMAR DOMINGOS DA SILVA ANJOS")</f>
        <v>CEMEI PROFESSORA LINDOMAR DOMINGOS DA SILVA ANJOS</v>
      </c>
      <c r="H87" s="100" t="str">
        <f>IFERROR(__xludf.DUMMYFUNCTION("""COMPUTED_VALUE"""),"REGIONAL 5")</f>
        <v>REGIONAL 5</v>
      </c>
      <c r="I87" s="100"/>
      <c r="J87" s="100"/>
      <c r="K87" s="100"/>
      <c r="L87" s="100"/>
      <c r="M87" s="100"/>
      <c r="N87" s="100"/>
      <c r="O87" s="100"/>
      <c r="P87" s="100"/>
      <c r="Q87" s="100"/>
      <c r="R87" s="100"/>
      <c r="S87" s="100"/>
      <c r="T87" s="100"/>
      <c r="U87" s="100"/>
      <c r="V87" s="100"/>
      <c r="W87" s="100"/>
      <c r="X87" s="100"/>
      <c r="Y87" s="100"/>
      <c r="Z87" s="100"/>
    </row>
    <row r="88" ht="15.75" customHeight="1" spans="1:26">
      <c r="A88" s="100" t="str">
        <f>IFERROR(__xludf.DUMMYFUNCTION("""COMPUTED_VALUE"""),"29/01/2026 09:34:00")</f>
        <v>29/01/2026 09:34:00</v>
      </c>
      <c r="B88" s="101" t="str">
        <f>IFERROR(__xludf.DUMMYFUNCTION("""COMPUTED_VALUE"""),"14")</f>
        <v>14</v>
      </c>
      <c r="C88" s="100" t="str">
        <f>IFERROR(__xludf.DUMMYFUNCTION("""COMPUTED_VALUE"""),"LARA SOPHIA OLIVEIRA DE ALMEIDA")</f>
        <v>LARA SOPHIA OLIVEIRA DE ALMEIDA</v>
      </c>
      <c r="D88" s="100" t="str">
        <f>IFERROR(__xludf.DUMMYFUNCTION("""COMPUTED_VALUE"""),"13/12/2023")</f>
        <v>13/12/2023</v>
      </c>
      <c r="E88" s="100" t="str">
        <f>IFERROR(__xludf.DUMMYFUNCTION("""COMPUTED_VALUE"""),"002.991.064-11")</f>
        <v>002.991.064-11</v>
      </c>
      <c r="F88" s="100" t="str">
        <f>IFERROR(__xludf.DUMMYFUNCTION("""COMPUTED_VALUE"""),"INFANTIL 2")</f>
        <v>INFANTIL 2</v>
      </c>
      <c r="G88" s="100" t="str">
        <f>IFERROR(__xludf.DUMMYFUNCTION("""COMPUTED_VALUE"""),"CEMEI PROFESSORA LINDOMAR DOMINGOS DA SILVA ANJOS")</f>
        <v>CEMEI PROFESSORA LINDOMAR DOMINGOS DA SILVA ANJOS</v>
      </c>
      <c r="H88" s="100" t="str">
        <f>IFERROR(__xludf.DUMMYFUNCTION("""COMPUTED_VALUE"""),"REGIONAL 5")</f>
        <v>REGIONAL 5</v>
      </c>
      <c r="I88" s="100"/>
      <c r="J88" s="100"/>
      <c r="K88" s="100"/>
      <c r="L88" s="100"/>
      <c r="M88" s="100"/>
      <c r="N88" s="100"/>
      <c r="O88" s="100"/>
      <c r="P88" s="100"/>
      <c r="Q88" s="100"/>
      <c r="R88" s="100"/>
      <c r="S88" s="100"/>
      <c r="T88" s="100"/>
      <c r="U88" s="100"/>
      <c r="V88" s="100"/>
      <c r="W88" s="100"/>
      <c r="X88" s="100"/>
      <c r="Y88" s="100"/>
      <c r="Z88" s="100"/>
    </row>
    <row r="89" ht="15.75" customHeight="1" spans="1:26">
      <c r="A89" s="100" t="str">
        <f>IFERROR(__xludf.DUMMYFUNCTION("""COMPUTED_VALUE"""),"29/01/2026 19:07:33")</f>
        <v>29/01/2026 19:07:33</v>
      </c>
      <c r="B89" s="101" t="str">
        <f>IFERROR(__xludf.DUMMYFUNCTION("""COMPUTED_VALUE"""),"15")</f>
        <v>15</v>
      </c>
      <c r="C89" s="100" t="str">
        <f>IFERROR(__xludf.DUMMYFUNCTION("""COMPUTED_VALUE"""),"JOÃO PEDRO AIRES DE SOUZA")</f>
        <v>JOÃO PEDRO AIRES DE SOUZA</v>
      </c>
      <c r="D89" s="100" t="str">
        <f>IFERROR(__xludf.DUMMYFUNCTION("""COMPUTED_VALUE"""),"13/05/2023")</f>
        <v>13/05/2023</v>
      </c>
      <c r="E89" s="100" t="str">
        <f>IFERROR(__xludf.DUMMYFUNCTION("""COMPUTED_VALUE"""),"185.347.964-08")</f>
        <v>185.347.964-08</v>
      </c>
      <c r="F89" s="100" t="str">
        <f>IFERROR(__xludf.DUMMYFUNCTION("""COMPUTED_VALUE"""),"INFANTIL 2")</f>
        <v>INFANTIL 2</v>
      </c>
      <c r="G89" s="100" t="str">
        <f>IFERROR(__xludf.DUMMYFUNCTION("""COMPUTED_VALUE"""),"CEMEI PROFESSORA LINDOMAR DOMINGOS DA SILVA ANJOS")</f>
        <v>CEMEI PROFESSORA LINDOMAR DOMINGOS DA SILVA ANJOS</v>
      </c>
      <c r="H89" s="100" t="str">
        <f>IFERROR(__xludf.DUMMYFUNCTION("""COMPUTED_VALUE"""),"REGIONAL 5")</f>
        <v>REGIONAL 5</v>
      </c>
      <c r="I89" s="100"/>
      <c r="J89" s="100"/>
      <c r="K89" s="100"/>
      <c r="L89" s="100"/>
      <c r="M89" s="100"/>
      <c r="N89" s="100"/>
      <c r="O89" s="100"/>
      <c r="P89" s="100"/>
      <c r="Q89" s="100"/>
      <c r="R89" s="100"/>
      <c r="S89" s="100"/>
      <c r="T89" s="100"/>
      <c r="U89" s="100"/>
      <c r="V89" s="100"/>
      <c r="W89" s="100"/>
      <c r="X89" s="100"/>
      <c r="Y89" s="100"/>
      <c r="Z89" s="100"/>
    </row>
    <row r="90" ht="15.75" customHeight="1" spans="1:26">
      <c r="A90" s="100" t="str">
        <f>IFERROR(__xludf.DUMMYFUNCTION("""COMPUTED_VALUE"""),"03/02/2026 12:10:55")</f>
        <v>03/02/2026 12:10:55</v>
      </c>
      <c r="B90" s="101" t="str">
        <f>IFERROR(__xludf.DUMMYFUNCTION("""COMPUTED_VALUE"""),"16")</f>
        <v>16</v>
      </c>
      <c r="C90" s="100" t="str">
        <f>IFERROR(__xludf.DUMMYFUNCTION("""COMPUTED_VALUE"""),"ELIAS BENJAMIN MIGUEL FERREIRA NACIMENTO")</f>
        <v>ELIAS BENJAMIN MIGUEL FERREIRA NACIMENTO</v>
      </c>
      <c r="D90" s="100" t="str">
        <f>IFERROR(__xludf.DUMMYFUNCTION("""COMPUTED_VALUE"""),"11/11/2023")</f>
        <v>11/11/2023</v>
      </c>
      <c r="E90" s="100" t="str">
        <f>IFERROR(__xludf.DUMMYFUNCTION("""COMPUTED_VALUE"""),"001.108.114-70")</f>
        <v>001.108.114-70</v>
      </c>
      <c r="F90" s="100" t="str">
        <f>IFERROR(__xludf.DUMMYFUNCTION("""COMPUTED_VALUE"""),"INFANTIL 2")</f>
        <v>INFANTIL 2</v>
      </c>
      <c r="G90" s="100" t="str">
        <f>IFERROR(__xludf.DUMMYFUNCTION("""COMPUTED_VALUE"""),"CEMEI PROFESSORA LINDOMAR DOMINGOS DA SILVA ANJOS")</f>
        <v>CEMEI PROFESSORA LINDOMAR DOMINGOS DA SILVA ANJOS</v>
      </c>
      <c r="H90" s="100" t="str">
        <f>IFERROR(__xludf.DUMMYFUNCTION("""COMPUTED_VALUE"""),"REGIONAL 5")</f>
        <v>REGIONAL 5</v>
      </c>
      <c r="I90" s="100"/>
      <c r="J90" s="100"/>
      <c r="K90" s="100"/>
      <c r="L90" s="100"/>
      <c r="M90" s="100"/>
      <c r="N90" s="100"/>
      <c r="O90" s="100"/>
      <c r="P90" s="100"/>
      <c r="Q90" s="100"/>
      <c r="R90" s="100"/>
      <c r="S90" s="100"/>
      <c r="T90" s="100"/>
      <c r="U90" s="100"/>
      <c r="V90" s="100"/>
      <c r="W90" s="100"/>
      <c r="X90" s="100"/>
      <c r="Y90" s="100"/>
      <c r="Z90" s="100"/>
    </row>
    <row r="91" ht="15.75" customHeight="1" spans="1:26">
      <c r="A91" s="100" t="str">
        <f>IFERROR(__xludf.DUMMYFUNCTION("""COMPUTED_VALUE"""),"03/02/2026 19:19:03")</f>
        <v>03/02/2026 19:19:03</v>
      </c>
      <c r="B91" s="101" t="str">
        <f>IFERROR(__xludf.DUMMYFUNCTION("""COMPUTED_VALUE"""),"17")</f>
        <v>17</v>
      </c>
      <c r="C91" s="100" t="str">
        <f>IFERROR(__xludf.DUMMYFUNCTION("""COMPUTED_VALUE"""),"AYLLA ELOÁ VITÓRIA DA SILVA")</f>
        <v>AYLLA ELOÁ VITÓRIA DA SILVA</v>
      </c>
      <c r="D91" s="100" t="str">
        <f>IFERROR(__xludf.DUMMYFUNCTION("""COMPUTED_VALUE"""),"22/06/2023")</f>
        <v>22/06/2023</v>
      </c>
      <c r="E91" s="100" t="str">
        <f>IFERROR(__xludf.DUMMYFUNCTION("""COMPUTED_VALUE"""),"185.751.114-00")</f>
        <v>185.751.114-00</v>
      </c>
      <c r="F91" s="100" t="str">
        <f>IFERROR(__xludf.DUMMYFUNCTION("""COMPUTED_VALUE"""),"INFANTIL 2")</f>
        <v>INFANTIL 2</v>
      </c>
      <c r="G91" s="100" t="str">
        <f>IFERROR(__xludf.DUMMYFUNCTION("""COMPUTED_VALUE"""),"CEMEI PROFESSORA LINDOMAR DOMINGOS DA SILVA ANJOS")</f>
        <v>CEMEI PROFESSORA LINDOMAR DOMINGOS DA SILVA ANJOS</v>
      </c>
      <c r="H91" s="100" t="str">
        <f>IFERROR(__xludf.DUMMYFUNCTION("""COMPUTED_VALUE"""),"REGIONAL 5")</f>
        <v>REGIONAL 5</v>
      </c>
      <c r="I91" s="100"/>
      <c r="J91" s="100"/>
      <c r="K91" s="100"/>
      <c r="L91" s="100"/>
      <c r="M91" s="100"/>
      <c r="N91" s="100"/>
      <c r="O91" s="100"/>
      <c r="P91" s="100"/>
      <c r="Q91" s="100"/>
      <c r="R91" s="100"/>
      <c r="S91" s="100"/>
      <c r="T91" s="100"/>
      <c r="U91" s="100"/>
      <c r="V91" s="100"/>
      <c r="W91" s="100"/>
      <c r="X91" s="100"/>
      <c r="Y91" s="100"/>
      <c r="Z91" s="100"/>
    </row>
    <row r="92" ht="15.75" customHeight="1" spans="1:26">
      <c r="A92" s="100" t="str">
        <f>IFERROR(__xludf.DUMMYFUNCTION("""COMPUTED_VALUE"""),"04/02/2026 09:54:58")</f>
        <v>04/02/2026 09:54:58</v>
      </c>
      <c r="B92" s="101" t="str">
        <f>IFERROR(__xludf.DUMMYFUNCTION("""COMPUTED_VALUE"""),"18")</f>
        <v>18</v>
      </c>
      <c r="C92" s="100" t="str">
        <f>IFERROR(__xludf.DUMMYFUNCTION("""COMPUTED_VALUE"""),"ANTHONY MIGUEL MEDEIROS DE LIMA")</f>
        <v>ANTHONY MIGUEL MEDEIROS DE LIMA</v>
      </c>
      <c r="D92" s="100" t="str">
        <f>IFERROR(__xludf.DUMMYFUNCTION("""COMPUTED_VALUE"""),"11/07/2023")</f>
        <v>11/07/2023</v>
      </c>
      <c r="E92" s="100" t="str">
        <f>IFERROR(__xludf.DUMMYFUNCTION("""COMPUTED_VALUE"""),"186.252.964-75")</f>
        <v>186.252.964-75</v>
      </c>
      <c r="F92" s="100" t="str">
        <f>IFERROR(__xludf.DUMMYFUNCTION("""COMPUTED_VALUE"""),"INFANTIL 2")</f>
        <v>INFANTIL 2</v>
      </c>
      <c r="G92" s="100" t="str">
        <f>IFERROR(__xludf.DUMMYFUNCTION("""COMPUTED_VALUE"""),"CEMEI PROFESSORA LINDOMAR DOMINGOS DA SILVA ANJOS")</f>
        <v>CEMEI PROFESSORA LINDOMAR DOMINGOS DA SILVA ANJOS</v>
      </c>
      <c r="H92" s="100" t="str">
        <f>IFERROR(__xludf.DUMMYFUNCTION("""COMPUTED_VALUE"""),"REGIONAL 5")</f>
        <v>REGIONAL 5</v>
      </c>
      <c r="I92" s="100"/>
      <c r="J92" s="100"/>
      <c r="K92" s="100"/>
      <c r="L92" s="100"/>
      <c r="M92" s="100"/>
      <c r="N92" s="100"/>
      <c r="O92" s="100"/>
      <c r="P92" s="100"/>
      <c r="Q92" s="100"/>
      <c r="R92" s="100"/>
      <c r="S92" s="100"/>
      <c r="T92" s="100"/>
      <c r="U92" s="100"/>
      <c r="V92" s="100"/>
      <c r="W92" s="100"/>
      <c r="X92" s="100"/>
      <c r="Y92" s="100"/>
      <c r="Z92" s="100"/>
    </row>
    <row r="93" ht="15.75" customHeight="1" spans="1:26">
      <c r="A93" s="100" t="str">
        <f>IFERROR(__xludf.DUMMYFUNCTION("""COMPUTED_VALUE"""),"04/02/2026 12:41:36")</f>
        <v>04/02/2026 12:41:36</v>
      </c>
      <c r="B93" s="101" t="str">
        <f>IFERROR(__xludf.DUMMYFUNCTION("""COMPUTED_VALUE"""),"19")</f>
        <v>19</v>
      </c>
      <c r="C93" s="100" t="str">
        <f>IFERROR(__xludf.DUMMYFUNCTION("""COMPUTED_VALUE"""),"ISAAC RAFAEL DA SILVA")</f>
        <v>ISAAC RAFAEL DA SILVA</v>
      </c>
      <c r="D93" s="100" t="str">
        <f>IFERROR(__xludf.DUMMYFUNCTION("""COMPUTED_VALUE"""),"17/04/2023")</f>
        <v>17/04/2023</v>
      </c>
      <c r="E93" s="100" t="str">
        <f>IFERROR(__xludf.DUMMYFUNCTION("""COMPUTED_VALUE"""),"185.156.394-67")</f>
        <v>185.156.394-67</v>
      </c>
      <c r="F93" s="100" t="str">
        <f>IFERROR(__xludf.DUMMYFUNCTION("""COMPUTED_VALUE"""),"INFANTIL 2")</f>
        <v>INFANTIL 2</v>
      </c>
      <c r="G93" s="100" t="str">
        <f>IFERROR(__xludf.DUMMYFUNCTION("""COMPUTED_VALUE"""),"CEMEI PROFESSORA LINDOMAR DOMINGOS DA SILVA ANJOS")</f>
        <v>CEMEI PROFESSORA LINDOMAR DOMINGOS DA SILVA ANJOS</v>
      </c>
      <c r="H93" s="100" t="str">
        <f>IFERROR(__xludf.DUMMYFUNCTION("""COMPUTED_VALUE"""),"REGIONAL 5")</f>
        <v>REGIONAL 5</v>
      </c>
      <c r="I93" s="100"/>
      <c r="J93" s="100"/>
      <c r="K93" s="100"/>
      <c r="L93" s="100"/>
      <c r="M93" s="100"/>
      <c r="N93" s="100"/>
      <c r="O93" s="100"/>
      <c r="P93" s="100"/>
      <c r="Q93" s="100"/>
      <c r="R93" s="100"/>
      <c r="S93" s="100"/>
      <c r="T93" s="100"/>
      <c r="U93" s="100"/>
      <c r="V93" s="100"/>
      <c r="W93" s="100"/>
      <c r="X93" s="100"/>
      <c r="Y93" s="100"/>
      <c r="Z93" s="100"/>
    </row>
    <row r="94" ht="15.75" customHeight="1" spans="1:26">
      <c r="A94" s="100" t="str">
        <f>IFERROR(__xludf.DUMMYFUNCTION("""COMPUTED_VALUE"""),"04/02/2026 15:23:58")</f>
        <v>04/02/2026 15:23:58</v>
      </c>
      <c r="B94" s="101" t="str">
        <f>IFERROR(__xludf.DUMMYFUNCTION("""COMPUTED_VALUE"""),"20")</f>
        <v>20</v>
      </c>
      <c r="C94" s="100" t="str">
        <f>IFERROR(__xludf.DUMMYFUNCTION("""COMPUTED_VALUE"""),"CALEB RAFAEL LOPES DOS SANTOS")</f>
        <v>CALEB RAFAEL LOPES DOS SANTOS</v>
      </c>
      <c r="D94" s="100" t="str">
        <f>IFERROR(__xludf.DUMMYFUNCTION("""COMPUTED_VALUE"""),"05/06/2023")</f>
        <v>05/06/2023</v>
      </c>
      <c r="E94" s="100" t="str">
        <f>IFERROR(__xludf.DUMMYFUNCTION("""COMPUTED_VALUE"""),"185.570.964-37")</f>
        <v>185.570.964-37</v>
      </c>
      <c r="F94" s="100" t="str">
        <f>IFERROR(__xludf.DUMMYFUNCTION("""COMPUTED_VALUE"""),"INFANTIL 2")</f>
        <v>INFANTIL 2</v>
      </c>
      <c r="G94" s="100" t="str">
        <f>IFERROR(__xludf.DUMMYFUNCTION("""COMPUTED_VALUE"""),"CEMEI PROFESSORA LINDOMAR DOMINGOS DA SILVA ANJOS")</f>
        <v>CEMEI PROFESSORA LINDOMAR DOMINGOS DA SILVA ANJOS</v>
      </c>
      <c r="H94" s="100" t="str">
        <f>IFERROR(__xludf.DUMMYFUNCTION("""COMPUTED_VALUE"""),"REGIONAL 5")</f>
        <v>REGIONAL 5</v>
      </c>
      <c r="I94" s="100"/>
      <c r="J94" s="100"/>
      <c r="K94" s="100"/>
      <c r="L94" s="100"/>
      <c r="M94" s="100"/>
      <c r="N94" s="100"/>
      <c r="O94" s="100"/>
      <c r="P94" s="100"/>
      <c r="Q94" s="100"/>
      <c r="R94" s="100"/>
      <c r="S94" s="100"/>
      <c r="T94" s="100"/>
      <c r="U94" s="100"/>
      <c r="V94" s="100"/>
      <c r="W94" s="100"/>
      <c r="X94" s="100"/>
      <c r="Y94" s="100"/>
      <c r="Z94" s="100"/>
    </row>
    <row r="95" ht="15.75" customHeight="1" spans="1:26">
      <c r="A95" s="100" t="str">
        <f>IFERROR(__xludf.DUMMYFUNCTION("""COMPUTED_VALUE"""),"05/02/2026 16:07:06")</f>
        <v>05/02/2026 16:07:06</v>
      </c>
      <c r="B95" s="101" t="str">
        <f>IFERROR(__xludf.DUMMYFUNCTION("""COMPUTED_VALUE"""),"21")</f>
        <v>21</v>
      </c>
      <c r="C95" s="100" t="str">
        <f>IFERROR(__xludf.DUMMYFUNCTION("""COMPUTED_VALUE"""),"CLARISSE RENATA MIGUEL AZEVEDO DE ALMEIDA")</f>
        <v>CLARISSE RENATA MIGUEL AZEVEDO DE ALMEIDA</v>
      </c>
      <c r="D95" s="100" t="str">
        <f>IFERROR(__xludf.DUMMYFUNCTION("""COMPUTED_VALUE"""),"11/08/2023")</f>
        <v>11/08/2023</v>
      </c>
      <c r="E95" s="100" t="str">
        <f>IFERROR(__xludf.DUMMYFUNCTION("""COMPUTED_VALUE"""),"186.226.954-84")</f>
        <v>186.226.954-84</v>
      </c>
      <c r="F95" s="100" t="str">
        <f>IFERROR(__xludf.DUMMYFUNCTION("""COMPUTED_VALUE"""),"INFANTIL 2")</f>
        <v>INFANTIL 2</v>
      </c>
      <c r="G95" s="100" t="str">
        <f>IFERROR(__xludf.DUMMYFUNCTION("""COMPUTED_VALUE"""),"CEMEI PROFESSORA LINDOMAR DOMINGOS DA SILVA ANJOS")</f>
        <v>CEMEI PROFESSORA LINDOMAR DOMINGOS DA SILVA ANJOS</v>
      </c>
      <c r="H95" s="100" t="str">
        <f>IFERROR(__xludf.DUMMYFUNCTION("""COMPUTED_VALUE"""),"REGIONAL 5")</f>
        <v>REGIONAL 5</v>
      </c>
      <c r="I95" s="100"/>
      <c r="J95" s="100"/>
      <c r="K95" s="100"/>
      <c r="L95" s="100"/>
      <c r="M95" s="100"/>
      <c r="N95" s="100"/>
      <c r="O95" s="100"/>
      <c r="P95" s="100"/>
      <c r="Q95" s="100"/>
      <c r="R95" s="100"/>
      <c r="S95" s="100"/>
      <c r="T95" s="100"/>
      <c r="U95" s="100"/>
      <c r="V95" s="100"/>
      <c r="W95" s="100"/>
      <c r="X95" s="100"/>
      <c r="Y95" s="100"/>
      <c r="Z95" s="100"/>
    </row>
    <row r="96" ht="15.75" customHeight="1" spans="1:26">
      <c r="A96" s="100" t="str">
        <f>IFERROR(__xludf.DUMMYFUNCTION("""COMPUTED_VALUE"""),"09/02/2026 09:40:47")</f>
        <v>09/02/2026 09:40:47</v>
      </c>
      <c r="B96" s="101" t="str">
        <f>IFERROR(__xludf.DUMMYFUNCTION("""COMPUTED_VALUE"""),"22")</f>
        <v>22</v>
      </c>
      <c r="C96" s="100" t="str">
        <f>IFERROR(__xludf.DUMMYFUNCTION("""COMPUTED_VALUE"""),"MARIA CECÍLIA DA SILVA")</f>
        <v>MARIA CECÍLIA DA SILVA</v>
      </c>
      <c r="D96" s="100" t="str">
        <f>IFERROR(__xludf.DUMMYFUNCTION("""COMPUTED_VALUE"""),"26/01/2024")</f>
        <v>26/01/2024</v>
      </c>
      <c r="E96" s="100" t="str">
        <f>IFERROR(__xludf.DUMMYFUNCTION("""COMPUTED_VALUE"""),"001.740.454-17")</f>
        <v>001.740.454-17</v>
      </c>
      <c r="F96" s="100" t="str">
        <f>IFERROR(__xludf.DUMMYFUNCTION("""COMPUTED_VALUE"""),"INFANTIL 2")</f>
        <v>INFANTIL 2</v>
      </c>
      <c r="G96" s="100" t="str">
        <f>IFERROR(__xludf.DUMMYFUNCTION("""COMPUTED_VALUE"""),"CEMEI PROFESSORA LINDOMAR DOMINGOS DA SILVA ANJOS")</f>
        <v>CEMEI PROFESSORA LINDOMAR DOMINGOS DA SILVA ANJOS</v>
      </c>
      <c r="H96" s="100" t="str">
        <f>IFERROR(__xludf.DUMMYFUNCTION("""COMPUTED_VALUE"""),"REGIONAL 5")</f>
        <v>REGIONAL 5</v>
      </c>
      <c r="I96" s="100"/>
      <c r="J96" s="100"/>
      <c r="K96" s="100"/>
      <c r="L96" s="100"/>
      <c r="M96" s="100"/>
      <c r="N96" s="100"/>
      <c r="O96" s="100"/>
      <c r="P96" s="100"/>
      <c r="Q96" s="100"/>
      <c r="R96" s="100"/>
      <c r="S96" s="100"/>
      <c r="T96" s="100"/>
      <c r="U96" s="100"/>
      <c r="V96" s="100"/>
      <c r="W96" s="100"/>
      <c r="X96" s="100"/>
      <c r="Y96" s="100"/>
      <c r="Z96" s="100"/>
    </row>
    <row r="97" ht="15.75" customHeight="1" spans="1:26">
      <c r="A97" s="100" t="str">
        <f>IFERROR(__xludf.DUMMYFUNCTION("""COMPUTED_VALUE"""),"10/02/2026 07:55:39")</f>
        <v>10/02/2026 07:55:39</v>
      </c>
      <c r="B97" s="101" t="str">
        <f>IFERROR(__xludf.DUMMYFUNCTION("""COMPUTED_VALUE"""),"23")</f>
        <v>23</v>
      </c>
      <c r="C97" s="100" t="str">
        <f>IFERROR(__xludf.DUMMYFUNCTION("""COMPUTED_VALUE"""),"MIGUEL BARRETO GOMES")</f>
        <v>MIGUEL BARRETO GOMES</v>
      </c>
      <c r="D97" s="100" t="str">
        <f>IFERROR(__xludf.DUMMYFUNCTION("""COMPUTED_VALUE"""),"07/12/2023")</f>
        <v>07/12/2023</v>
      </c>
      <c r="E97" s="100" t="str">
        <f>IFERROR(__xludf.DUMMYFUNCTION("""COMPUTED_VALUE"""),"001.204.304-44")</f>
        <v>001.204.304-44</v>
      </c>
      <c r="F97" s="100" t="str">
        <f>IFERROR(__xludf.DUMMYFUNCTION("""COMPUTED_VALUE"""),"INFANTIL 2")</f>
        <v>INFANTIL 2</v>
      </c>
      <c r="G97" s="100" t="str">
        <f>IFERROR(__xludf.DUMMYFUNCTION("""COMPUTED_VALUE"""),"CEMEI PROFESSORA LINDOMAR DOMINGOS DA SILVA ANJOS")</f>
        <v>CEMEI PROFESSORA LINDOMAR DOMINGOS DA SILVA ANJOS</v>
      </c>
      <c r="H97" s="100" t="str">
        <f>IFERROR(__xludf.DUMMYFUNCTION("""COMPUTED_VALUE"""),"REGIONAL 5")</f>
        <v>REGIONAL 5</v>
      </c>
      <c r="I97" s="100"/>
      <c r="J97" s="100"/>
      <c r="K97" s="100"/>
      <c r="L97" s="100"/>
      <c r="M97" s="100"/>
      <c r="N97" s="100"/>
      <c r="O97" s="100"/>
      <c r="P97" s="100"/>
      <c r="Q97" s="100"/>
      <c r="R97" s="100"/>
      <c r="S97" s="100"/>
      <c r="T97" s="100"/>
      <c r="U97" s="100"/>
      <c r="V97" s="100"/>
      <c r="W97" s="100"/>
      <c r="X97" s="100"/>
      <c r="Y97" s="100"/>
      <c r="Z97" s="100"/>
    </row>
    <row r="98" ht="15.75" customHeight="1" spans="1:26">
      <c r="A98" s="100" t="str">
        <f>IFERROR(__xludf.DUMMYFUNCTION("""COMPUTED_VALUE"""),"10/02/2026 08:09:08")</f>
        <v>10/02/2026 08:09:08</v>
      </c>
      <c r="B98" s="101" t="str">
        <f>IFERROR(__xludf.DUMMYFUNCTION("""COMPUTED_VALUE"""),"24")</f>
        <v>24</v>
      </c>
      <c r="C98" s="100" t="str">
        <f>IFERROR(__xludf.DUMMYFUNCTION("""COMPUTED_VALUE"""),"GAEL LEVI MARQUES DE LIMA")</f>
        <v>GAEL LEVI MARQUES DE LIMA</v>
      </c>
      <c r="D98" s="100" t="str">
        <f>IFERROR(__xludf.DUMMYFUNCTION("""COMPUTED_VALUE"""),"08/06/2023")</f>
        <v>08/06/2023</v>
      </c>
      <c r="E98" s="100" t="str">
        <f>IFERROR(__xludf.DUMMYFUNCTION("""COMPUTED_VALUE"""),"185.616.944-83")</f>
        <v>185.616.944-83</v>
      </c>
      <c r="F98" s="100" t="str">
        <f>IFERROR(__xludf.DUMMYFUNCTION("""COMPUTED_VALUE"""),"INFANTIL 2")</f>
        <v>INFANTIL 2</v>
      </c>
      <c r="G98" s="100" t="str">
        <f>IFERROR(__xludf.DUMMYFUNCTION("""COMPUTED_VALUE"""),"CEMEI PROFESSORA LINDOMAR DOMINGOS DA SILVA ANJOS")</f>
        <v>CEMEI PROFESSORA LINDOMAR DOMINGOS DA SILVA ANJOS</v>
      </c>
      <c r="H98" s="100" t="str">
        <f>IFERROR(__xludf.DUMMYFUNCTION("""COMPUTED_VALUE"""),"REGIONAL 5")</f>
        <v>REGIONAL 5</v>
      </c>
      <c r="I98" s="100"/>
      <c r="J98" s="100"/>
      <c r="K98" s="100"/>
      <c r="L98" s="100"/>
      <c r="M98" s="100"/>
      <c r="N98" s="100"/>
      <c r="O98" s="100"/>
      <c r="P98" s="100"/>
      <c r="Q98" s="100"/>
      <c r="R98" s="100"/>
      <c r="S98" s="100"/>
      <c r="T98" s="100"/>
      <c r="U98" s="100"/>
      <c r="V98" s="100"/>
      <c r="W98" s="100"/>
      <c r="X98" s="100"/>
      <c r="Y98" s="100"/>
      <c r="Z98" s="100"/>
    </row>
    <row r="99" ht="15.75" customHeight="1" spans="1:26">
      <c r="A99" s="100" t="str">
        <f>IFERROR(__xludf.DUMMYFUNCTION("""COMPUTED_VALUE"""),"10/02/2026 11:18:19")</f>
        <v>10/02/2026 11:18:19</v>
      </c>
      <c r="B99" s="101" t="str">
        <f>IFERROR(__xludf.DUMMYFUNCTION("""COMPUTED_VALUE"""),"25")</f>
        <v>25</v>
      </c>
      <c r="C99" s="100" t="str">
        <f>IFERROR(__xludf.DUMMYFUNCTION("""COMPUTED_VALUE"""),"JAERLLYSON JOSUE ANDRADE DA SILVA")</f>
        <v>JAERLLYSON JOSUE ANDRADE DA SILVA</v>
      </c>
      <c r="D99" s="100" t="str">
        <f>IFERROR(__xludf.DUMMYFUNCTION("""COMPUTED_VALUE"""),"05/07/2023")</f>
        <v>05/07/2023</v>
      </c>
      <c r="E99" s="100" t="str">
        <f>IFERROR(__xludf.DUMMYFUNCTION("""COMPUTED_VALUE"""),"185.899.144-70")</f>
        <v>185.899.144-70</v>
      </c>
      <c r="F99" s="100" t="str">
        <f>IFERROR(__xludf.DUMMYFUNCTION("""COMPUTED_VALUE"""),"INFANTIL 2")</f>
        <v>INFANTIL 2</v>
      </c>
      <c r="G99" s="100" t="str">
        <f>IFERROR(__xludf.DUMMYFUNCTION("""COMPUTED_VALUE"""),"CEMEI PROFESSORA LINDOMAR DOMINGOS DA SILVA ANJOS")</f>
        <v>CEMEI PROFESSORA LINDOMAR DOMINGOS DA SILVA ANJOS</v>
      </c>
      <c r="H99" s="100" t="str">
        <f>IFERROR(__xludf.DUMMYFUNCTION("""COMPUTED_VALUE"""),"REGIONAL 5")</f>
        <v>REGIONAL 5</v>
      </c>
      <c r="I99" s="100"/>
      <c r="J99" s="100"/>
      <c r="K99" s="100"/>
      <c r="L99" s="100"/>
      <c r="M99" s="100"/>
      <c r="N99" s="100"/>
      <c r="O99" s="100"/>
      <c r="P99" s="100"/>
      <c r="Q99" s="100"/>
      <c r="R99" s="100"/>
      <c r="S99" s="100"/>
      <c r="T99" s="100"/>
      <c r="U99" s="100"/>
      <c r="V99" s="100"/>
      <c r="W99" s="100"/>
      <c r="X99" s="100"/>
      <c r="Y99" s="100"/>
      <c r="Z99" s="100"/>
    </row>
    <row r="100" ht="15.75" customHeight="1" spans="1:26">
      <c r="A100" s="100" t="str">
        <f>IFERROR(__xludf.DUMMYFUNCTION("""COMPUTED_VALUE"""),"11/02/2026 13:53:52")</f>
        <v>11/02/2026 13:53:52</v>
      </c>
      <c r="B100" s="101" t="str">
        <f>IFERROR(__xludf.DUMMYFUNCTION("""COMPUTED_VALUE"""),"26")</f>
        <v>26</v>
      </c>
      <c r="C100" s="100" t="str">
        <f>IFERROR(__xludf.DUMMYFUNCTION("""COMPUTED_VALUE"""),"YARA MELISSA VALENTINA DA SILVA NEVES")</f>
        <v>YARA MELISSA VALENTINA DA SILVA NEVES</v>
      </c>
      <c r="D100" s="100" t="str">
        <f>IFERROR(__xludf.DUMMYFUNCTION("""COMPUTED_VALUE"""),"10/11/2023")</f>
        <v>10/11/2023</v>
      </c>
      <c r="E100" s="100" t="str">
        <f>IFERROR(__xludf.DUMMYFUNCTION("""COMPUTED_VALUE"""),"000.986.854-22")</f>
        <v>000.986.854-22</v>
      </c>
      <c r="F100" s="100" t="str">
        <f>IFERROR(__xludf.DUMMYFUNCTION("""COMPUTED_VALUE"""),"INFANTIL 2")</f>
        <v>INFANTIL 2</v>
      </c>
      <c r="G100" s="100" t="str">
        <f>IFERROR(__xludf.DUMMYFUNCTION("""COMPUTED_VALUE"""),"CEMEI PROFESSORA LINDOMAR DOMINGOS DA SILVA ANJOS")</f>
        <v>CEMEI PROFESSORA LINDOMAR DOMINGOS DA SILVA ANJOS</v>
      </c>
      <c r="H100" s="100" t="str">
        <f>IFERROR(__xludf.DUMMYFUNCTION("""COMPUTED_VALUE"""),"REGIONAL 5")</f>
        <v>REGIONAL 5</v>
      </c>
      <c r="I100" s="100"/>
      <c r="J100" s="100"/>
      <c r="K100" s="100"/>
      <c r="L100" s="100"/>
      <c r="M100" s="100"/>
      <c r="N100" s="100"/>
      <c r="O100" s="100"/>
      <c r="P100" s="100"/>
      <c r="Q100" s="100"/>
      <c r="R100" s="100"/>
      <c r="S100" s="100"/>
      <c r="T100" s="100"/>
      <c r="U100" s="100"/>
      <c r="V100" s="100"/>
      <c r="W100" s="100"/>
      <c r="X100" s="100"/>
      <c r="Y100" s="100"/>
      <c r="Z100" s="100"/>
    </row>
    <row r="101" ht="15.75" customHeight="1" spans="1:26">
      <c r="A101" s="100" t="str">
        <f>IFERROR(__xludf.DUMMYFUNCTION("""COMPUTED_VALUE"""),"19/02/2026 09:30:52")</f>
        <v>19/02/2026 09:30:52</v>
      </c>
      <c r="B101" s="101" t="str">
        <f>IFERROR(__xludf.DUMMYFUNCTION("""COMPUTED_VALUE"""),"27")</f>
        <v>27</v>
      </c>
      <c r="C101" s="100" t="str">
        <f>IFERROR(__xludf.DUMMYFUNCTION("""COMPUTED_VALUE"""),"BEN DE SOUZA FRANCISCO")</f>
        <v>BEN DE SOUZA FRANCISCO</v>
      </c>
      <c r="D101" s="100" t="str">
        <f>IFERROR(__xludf.DUMMYFUNCTION("""COMPUTED_VALUE"""),"25/04/2023")</f>
        <v>25/04/2023</v>
      </c>
      <c r="E101" s="100" t="str">
        <f>IFERROR(__xludf.DUMMYFUNCTION("""COMPUTED_VALUE"""),"185.296.954-70")</f>
        <v>185.296.954-70</v>
      </c>
      <c r="F101" s="100" t="str">
        <f>IFERROR(__xludf.DUMMYFUNCTION("""COMPUTED_VALUE"""),"INFANTIL 2")</f>
        <v>INFANTIL 2</v>
      </c>
      <c r="G101" s="100" t="str">
        <f>IFERROR(__xludf.DUMMYFUNCTION("""COMPUTED_VALUE"""),"CEMEI PROFESSORA LINDOMAR DOMINGOS DA SILVA ANJOS")</f>
        <v>CEMEI PROFESSORA LINDOMAR DOMINGOS DA SILVA ANJOS</v>
      </c>
      <c r="H101" s="100" t="str">
        <f>IFERROR(__xludf.DUMMYFUNCTION("""COMPUTED_VALUE"""),"REGIONAL 5")</f>
        <v>REGIONAL 5</v>
      </c>
      <c r="I101" s="100"/>
      <c r="J101" s="100"/>
      <c r="K101" s="100"/>
      <c r="L101" s="100"/>
      <c r="M101" s="100"/>
      <c r="N101" s="100"/>
      <c r="O101" s="100"/>
      <c r="P101" s="100"/>
      <c r="Q101" s="100"/>
      <c r="R101" s="100"/>
      <c r="S101" s="100"/>
      <c r="T101" s="100"/>
      <c r="U101" s="100"/>
      <c r="V101" s="100"/>
      <c r="W101" s="100"/>
      <c r="X101" s="100"/>
      <c r="Y101" s="100"/>
      <c r="Z101" s="100"/>
    </row>
    <row r="102" ht="15.75" customHeight="1" spans="1:26">
      <c r="A102" s="100" t="str">
        <f>IFERROR(__xludf.DUMMYFUNCTION("""COMPUTED_VALUE"""),"03/03/2026 12:02:06")</f>
        <v>03/03/2026 12:02:06</v>
      </c>
      <c r="B102" s="101" t="str">
        <f>IFERROR(__xludf.DUMMYFUNCTION("""COMPUTED_VALUE"""),"28")</f>
        <v>28</v>
      </c>
      <c r="C102" s="100" t="str">
        <f>IFERROR(__xludf.DUMMYFUNCTION("""COMPUTED_VALUE"""),"HEITOR BEZERRA DA SILVA")</f>
        <v>HEITOR BEZERRA DA SILVA</v>
      </c>
      <c r="D102" s="100" t="str">
        <f>IFERROR(__xludf.DUMMYFUNCTION("""COMPUTED_VALUE"""),"27/06/2023")</f>
        <v>27/06/2023</v>
      </c>
      <c r="E102" s="100" t="str">
        <f>IFERROR(__xludf.DUMMYFUNCTION("""COMPUTED_VALUE"""),"185.815.174-04")</f>
        <v>185.815.174-04</v>
      </c>
      <c r="F102" s="100" t="str">
        <f>IFERROR(__xludf.DUMMYFUNCTION("""COMPUTED_VALUE"""),"INFANTIL 2")</f>
        <v>INFANTIL 2</v>
      </c>
      <c r="G102" s="100" t="str">
        <f>IFERROR(__xludf.DUMMYFUNCTION("""COMPUTED_VALUE"""),"CEMEI PROFESSORA LINDOMAR DOMINGOS DA SILVA ANJOS")</f>
        <v>CEMEI PROFESSORA LINDOMAR DOMINGOS DA SILVA ANJOS</v>
      </c>
      <c r="H102" s="100" t="str">
        <f>IFERROR(__xludf.DUMMYFUNCTION("""COMPUTED_VALUE"""),"REGIONAL 5")</f>
        <v>REGIONAL 5</v>
      </c>
      <c r="I102" s="100"/>
      <c r="J102" s="100"/>
      <c r="K102" s="100"/>
      <c r="L102" s="100"/>
      <c r="M102" s="100"/>
      <c r="N102" s="100"/>
      <c r="O102" s="100"/>
      <c r="P102" s="100"/>
      <c r="Q102" s="100"/>
      <c r="R102" s="100"/>
      <c r="S102" s="100"/>
      <c r="T102" s="100"/>
      <c r="U102" s="100"/>
      <c r="V102" s="100"/>
      <c r="W102" s="100"/>
      <c r="X102" s="100"/>
      <c r="Y102" s="100"/>
      <c r="Z102" s="100"/>
    </row>
    <row r="103" ht="15.75" customHeight="1" spans="1:26">
      <c r="A103" s="100" t="str">
        <f>IFERROR(__xludf.DUMMYFUNCTION("""COMPUTED_VALUE"""),"04/03/2026 07:55:35")</f>
        <v>04/03/2026 07:55:35</v>
      </c>
      <c r="B103" s="101" t="str">
        <f>IFERROR(__xludf.DUMMYFUNCTION("""COMPUTED_VALUE"""),"29")</f>
        <v>29</v>
      </c>
      <c r="C103" s="100" t="str">
        <f>IFERROR(__xludf.DUMMYFUNCTION("""COMPUTED_VALUE"""),"ANTHONY GABRIEL PEREIRA DA SILVA")</f>
        <v>ANTHONY GABRIEL PEREIRA DA SILVA</v>
      </c>
      <c r="D103" s="100" t="str">
        <f>IFERROR(__xludf.DUMMYFUNCTION("""COMPUTED_VALUE"""),"16/11/2023")</f>
        <v>16/11/2023</v>
      </c>
      <c r="E103" s="100" t="str">
        <f>IFERROR(__xludf.DUMMYFUNCTION("""COMPUTED_VALUE"""),"001.086.874-73")</f>
        <v>001.086.874-73</v>
      </c>
      <c r="F103" s="100" t="str">
        <f>IFERROR(__xludf.DUMMYFUNCTION("""COMPUTED_VALUE"""),"INFANTIL 2")</f>
        <v>INFANTIL 2</v>
      </c>
      <c r="G103" s="100" t="str">
        <f>IFERROR(__xludf.DUMMYFUNCTION("""COMPUTED_VALUE"""),"CEMEI PROFESSORA LINDOMAR DOMINGOS DA SILVA ANJOS")</f>
        <v>CEMEI PROFESSORA LINDOMAR DOMINGOS DA SILVA ANJOS</v>
      </c>
      <c r="H103" s="100" t="str">
        <f>IFERROR(__xludf.DUMMYFUNCTION("""COMPUTED_VALUE"""),"REGIONAL 5")</f>
        <v>REGIONAL 5</v>
      </c>
      <c r="I103" s="100"/>
      <c r="J103" s="100"/>
      <c r="K103" s="100"/>
      <c r="L103" s="100"/>
      <c r="M103" s="100"/>
      <c r="N103" s="100"/>
      <c r="O103" s="100"/>
      <c r="P103" s="100"/>
      <c r="Q103" s="100"/>
      <c r="R103" s="100"/>
      <c r="S103" s="100"/>
      <c r="T103" s="100"/>
      <c r="U103" s="100"/>
      <c r="V103" s="100"/>
      <c r="W103" s="100"/>
      <c r="X103" s="100"/>
      <c r="Y103" s="100"/>
      <c r="Z103" s="100"/>
    </row>
    <row r="104" ht="15.75" customHeight="1" spans="1:26">
      <c r="A104" s="100" t="str">
        <f>IFERROR(__xludf.DUMMYFUNCTION("""COMPUTED_VALUE"""),"12/03/2026 11:41:32")</f>
        <v>12/03/2026 11:41:32</v>
      </c>
      <c r="B104" s="101" t="str">
        <f>IFERROR(__xludf.DUMMYFUNCTION("""COMPUTED_VALUE"""),"30")</f>
        <v>30</v>
      </c>
      <c r="C104" s="100" t="str">
        <f>IFERROR(__xludf.DUMMYFUNCTION("""COMPUTED_VALUE"""),"ANTHONY HENRIQUE SANTOS DA SILVA")</f>
        <v>ANTHONY HENRIQUE SANTOS DA SILVA</v>
      </c>
      <c r="D104" s="100" t="str">
        <f>IFERROR(__xludf.DUMMYFUNCTION("""COMPUTED_VALUE"""),"21/09/2023")</f>
        <v>21/09/2023</v>
      </c>
      <c r="E104" s="100" t="str">
        <f>IFERROR(__xludf.DUMMYFUNCTION("""COMPUTED_VALUE"""),"186.598.194-03")</f>
        <v>186.598.194-03</v>
      </c>
      <c r="F104" s="100" t="str">
        <f>IFERROR(__xludf.DUMMYFUNCTION("""COMPUTED_VALUE"""),"INFANTIL 2")</f>
        <v>INFANTIL 2</v>
      </c>
      <c r="G104" s="100" t="str">
        <f>IFERROR(__xludf.DUMMYFUNCTION("""COMPUTED_VALUE"""),"CEMEI PROFESSORA LINDOMAR DOMINGOS DA SILVA ANJOS")</f>
        <v>CEMEI PROFESSORA LINDOMAR DOMINGOS DA SILVA ANJOS</v>
      </c>
      <c r="H104" s="100" t="str">
        <f>IFERROR(__xludf.DUMMYFUNCTION("""COMPUTED_VALUE"""),"REGIONAL 5")</f>
        <v>REGIONAL 5</v>
      </c>
      <c r="I104" s="100"/>
      <c r="J104" s="100"/>
      <c r="K104" s="100"/>
      <c r="L104" s="100"/>
      <c r="M104" s="100"/>
      <c r="N104" s="100"/>
      <c r="O104" s="100"/>
      <c r="P104" s="100"/>
      <c r="Q104" s="100"/>
      <c r="R104" s="100"/>
      <c r="S104" s="100"/>
      <c r="T104" s="100"/>
      <c r="U104" s="100"/>
      <c r="V104" s="100"/>
      <c r="W104" s="100"/>
      <c r="X104" s="100"/>
      <c r="Y104" s="100"/>
      <c r="Z104" s="100"/>
    </row>
    <row r="105" ht="15.75" customHeight="1" spans="1:26">
      <c r="A105" s="100" t="str">
        <f>IFERROR(__xludf.DUMMYFUNCTION("""COMPUTED_VALUE"""),"25/04/2026 06:48:05")</f>
        <v>25/04/2026 06:48:05</v>
      </c>
      <c r="B105" s="101" t="str">
        <f>IFERROR(__xludf.DUMMYFUNCTION("""COMPUTED_VALUE"""),"31")</f>
        <v>31</v>
      </c>
      <c r="C105" s="100" t="str">
        <f>IFERROR(__xludf.DUMMYFUNCTION("""COMPUTED_VALUE"""),"CECÍLIA MORAES DE ABREU")</f>
        <v>CECÍLIA MORAES DE ABREU</v>
      </c>
      <c r="D105" s="100" t="str">
        <f>IFERROR(__xludf.DUMMYFUNCTION("""COMPUTED_VALUE"""),"23/09/2023")</f>
        <v>23/09/2023</v>
      </c>
      <c r="E105" s="100" t="str">
        <f>IFERROR(__xludf.DUMMYFUNCTION("""COMPUTED_VALUE"""),"000.222.764-91")</f>
        <v>000.222.764-91</v>
      </c>
      <c r="F105" s="100" t="str">
        <f>IFERROR(__xludf.DUMMYFUNCTION("""COMPUTED_VALUE"""),"INFANTIL 2")</f>
        <v>INFANTIL 2</v>
      </c>
      <c r="G105" s="100" t="str">
        <f>IFERROR(__xludf.DUMMYFUNCTION("""COMPUTED_VALUE"""),"CEMEI PROFESSORA LINDOMAR DOMINGOS DA SILVA ANJOS")</f>
        <v>CEMEI PROFESSORA LINDOMAR DOMINGOS DA SILVA ANJOS</v>
      </c>
      <c r="H105" s="100" t="str">
        <f>IFERROR(__xludf.DUMMYFUNCTION("""COMPUTED_VALUE"""),"REGIONAL 5")</f>
        <v>REGIONAL 5</v>
      </c>
      <c r="I105" s="100"/>
      <c r="J105" s="100"/>
      <c r="K105" s="100"/>
      <c r="L105" s="100"/>
      <c r="M105" s="100"/>
      <c r="N105" s="100"/>
      <c r="O105" s="100"/>
      <c r="P105" s="100"/>
      <c r="Q105" s="100"/>
      <c r="R105" s="100"/>
      <c r="S105" s="100"/>
      <c r="T105" s="100"/>
      <c r="U105" s="100"/>
      <c r="V105" s="100"/>
      <c r="W105" s="100"/>
      <c r="X105" s="100"/>
      <c r="Y105" s="100"/>
      <c r="Z105" s="100"/>
    </row>
    <row r="106" ht="15.75" customHeight="1" spans="1:26">
      <c r="A106" s="100" t="str">
        <f>IFERROR(__xludf.DUMMYFUNCTION("""COMPUTED_VALUE"""),"28/01/2026 08:09:51")</f>
        <v>28/01/2026 08:09:51</v>
      </c>
      <c r="B106" s="101" t="str">
        <f>IFERROR(__xludf.DUMMYFUNCTION("""COMPUTED_VALUE"""),"1")</f>
        <v>1</v>
      </c>
      <c r="C106" s="100" t="str">
        <f>IFERROR(__xludf.DUMMYFUNCTION("""COMPUTED_VALUE"""),"JÚLIA VITÓRIA MARTINS DA SILVA SANTOS")</f>
        <v>JÚLIA VITÓRIA MARTINS DA SILVA SANTOS</v>
      </c>
      <c r="D106" s="100" t="str">
        <f>IFERROR(__xludf.DUMMYFUNCTION("""COMPUTED_VALUE"""),"11/08/2022")</f>
        <v>11/08/2022</v>
      </c>
      <c r="E106" s="100" t="str">
        <f>IFERROR(__xludf.DUMMYFUNCTION("""COMPUTED_VALUE"""),"182.893.304-05")</f>
        <v>182.893.304-05</v>
      </c>
      <c r="F106" s="100" t="str">
        <f>IFERROR(__xludf.DUMMYFUNCTION("""COMPUTED_VALUE"""),"INFANTIL 3")</f>
        <v>INFANTIL 3</v>
      </c>
      <c r="G106" s="100" t="str">
        <f>IFERROR(__xludf.DUMMYFUNCTION("""COMPUTED_VALUE"""),"CEMEI PROFESSORA LINDOMAR DOMINGOS DA SILVA ANJOS")</f>
        <v>CEMEI PROFESSORA LINDOMAR DOMINGOS DA SILVA ANJOS</v>
      </c>
      <c r="H106" s="100" t="str">
        <f>IFERROR(__xludf.DUMMYFUNCTION("""COMPUTED_VALUE"""),"REGIONAL 5")</f>
        <v>REGIONAL 5</v>
      </c>
      <c r="I106" s="100"/>
      <c r="J106" s="100"/>
      <c r="K106" s="100"/>
      <c r="L106" s="100"/>
      <c r="M106" s="100"/>
      <c r="N106" s="100"/>
      <c r="O106" s="100"/>
      <c r="P106" s="100"/>
      <c r="Q106" s="100"/>
      <c r="R106" s="100"/>
      <c r="S106" s="100"/>
      <c r="T106" s="100"/>
      <c r="U106" s="100"/>
      <c r="V106" s="100"/>
      <c r="W106" s="100"/>
      <c r="X106" s="100"/>
      <c r="Y106" s="100"/>
      <c r="Z106" s="100"/>
    </row>
    <row r="107" ht="15.75" customHeight="1" spans="1:26">
      <c r="A107" s="100" t="str">
        <f>IFERROR(__xludf.DUMMYFUNCTION("""COMPUTED_VALUE"""),"28/01/2026 08:18:50")</f>
        <v>28/01/2026 08:18:50</v>
      </c>
      <c r="B107" s="101" t="str">
        <f>IFERROR(__xludf.DUMMYFUNCTION("""COMPUTED_VALUE"""),"2")</f>
        <v>2</v>
      </c>
      <c r="C107" s="100" t="str">
        <f>IFERROR(__xludf.DUMMYFUNCTION("""COMPUTED_VALUE"""),"THOMAS SHELBY ALMEIDA SANTOS")</f>
        <v>THOMAS SHELBY ALMEIDA SANTOS</v>
      </c>
      <c r="D107" s="100" t="str">
        <f>IFERROR(__xludf.DUMMYFUNCTION("""COMPUTED_VALUE"""),"25/06/2022")</f>
        <v>25/06/2022</v>
      </c>
      <c r="E107" s="100" t="str">
        <f>IFERROR(__xludf.DUMMYFUNCTION("""COMPUTED_VALUE"""),"182.095.624-52")</f>
        <v>182.095.624-52</v>
      </c>
      <c r="F107" s="100" t="str">
        <f>IFERROR(__xludf.DUMMYFUNCTION("""COMPUTED_VALUE"""),"INFANTIL 3")</f>
        <v>INFANTIL 3</v>
      </c>
      <c r="G107" s="100" t="str">
        <f>IFERROR(__xludf.DUMMYFUNCTION("""COMPUTED_VALUE"""),"CEMEI PROFESSORA LINDOMAR DOMINGOS DA SILVA ANJOS")</f>
        <v>CEMEI PROFESSORA LINDOMAR DOMINGOS DA SILVA ANJOS</v>
      </c>
      <c r="H107" s="100" t="str">
        <f>IFERROR(__xludf.DUMMYFUNCTION("""COMPUTED_VALUE"""),"REGIONAL 5")</f>
        <v>REGIONAL 5</v>
      </c>
      <c r="I107" s="100"/>
      <c r="J107" s="100"/>
      <c r="K107" s="100"/>
      <c r="L107" s="100"/>
      <c r="M107" s="100"/>
      <c r="N107" s="100"/>
      <c r="O107" s="100"/>
      <c r="P107" s="100"/>
      <c r="Q107" s="100"/>
      <c r="R107" s="100"/>
      <c r="S107" s="100"/>
      <c r="T107" s="100"/>
      <c r="U107" s="100"/>
      <c r="V107" s="100"/>
      <c r="W107" s="100"/>
      <c r="X107" s="100"/>
      <c r="Y107" s="100"/>
      <c r="Z107" s="100"/>
    </row>
    <row r="108" ht="15.75" customHeight="1" spans="1:26">
      <c r="A108" s="100" t="str">
        <f>IFERROR(__xludf.DUMMYFUNCTION("""COMPUTED_VALUE"""),"28/01/2026 08:24:51")</f>
        <v>28/01/2026 08:24:51</v>
      </c>
      <c r="B108" s="101" t="str">
        <f>IFERROR(__xludf.DUMMYFUNCTION("""COMPUTED_VALUE"""),"3")</f>
        <v>3</v>
      </c>
      <c r="C108" s="100" t="str">
        <f>IFERROR(__xludf.DUMMYFUNCTION("""COMPUTED_VALUE"""),"KEVIN LUCAS VITORINO DA SILVA")</f>
        <v>KEVIN LUCAS VITORINO DA SILVA</v>
      </c>
      <c r="D108" s="100" t="str">
        <f>IFERROR(__xludf.DUMMYFUNCTION("""COMPUTED_VALUE"""),"14/01/2023")</f>
        <v>14/01/2023</v>
      </c>
      <c r="E108" s="100" t="str">
        <f>IFERROR(__xludf.DUMMYFUNCTION("""COMPUTED_VALUE"""),"184.272.764-86")</f>
        <v>184.272.764-86</v>
      </c>
      <c r="F108" s="100" t="str">
        <f>IFERROR(__xludf.DUMMYFUNCTION("""COMPUTED_VALUE"""),"INFANTIL 3")</f>
        <v>INFANTIL 3</v>
      </c>
      <c r="G108" s="100" t="str">
        <f>IFERROR(__xludf.DUMMYFUNCTION("""COMPUTED_VALUE"""),"CEMEI PROFESSORA LINDOMAR DOMINGOS DA SILVA ANJOS")</f>
        <v>CEMEI PROFESSORA LINDOMAR DOMINGOS DA SILVA ANJOS</v>
      </c>
      <c r="H108" s="100" t="str">
        <f>IFERROR(__xludf.DUMMYFUNCTION("""COMPUTED_VALUE"""),"REGIONAL 5")</f>
        <v>REGIONAL 5</v>
      </c>
      <c r="I108" s="100"/>
      <c r="J108" s="100"/>
      <c r="K108" s="100"/>
      <c r="L108" s="100"/>
      <c r="M108" s="100"/>
      <c r="N108" s="100"/>
      <c r="O108" s="100"/>
      <c r="P108" s="100"/>
      <c r="Q108" s="100"/>
      <c r="R108" s="100"/>
      <c r="S108" s="100"/>
      <c r="T108" s="100"/>
      <c r="U108" s="100"/>
      <c r="V108" s="100"/>
      <c r="W108" s="100"/>
      <c r="X108" s="100"/>
      <c r="Y108" s="100"/>
      <c r="Z108" s="100"/>
    </row>
    <row r="109" ht="15.75" customHeight="1" spans="1:26">
      <c r="A109" s="100" t="str">
        <f>IFERROR(__xludf.DUMMYFUNCTION("""COMPUTED_VALUE"""),"28/01/2026 08:40:24")</f>
        <v>28/01/2026 08:40:24</v>
      </c>
      <c r="B109" s="101" t="str">
        <f>IFERROR(__xludf.DUMMYFUNCTION("""COMPUTED_VALUE"""),"4")</f>
        <v>4</v>
      </c>
      <c r="C109" s="100" t="str">
        <f>IFERROR(__xludf.DUMMYFUNCTION("""COMPUTED_VALUE"""),"ARTHUR HENRIQUE DE OLIVEIRA SOUZA")</f>
        <v>ARTHUR HENRIQUE DE OLIVEIRA SOUZA</v>
      </c>
      <c r="D109" s="100" t="str">
        <f>IFERROR(__xludf.DUMMYFUNCTION("""COMPUTED_VALUE"""),"16/05/2022")</f>
        <v>16/05/2022</v>
      </c>
      <c r="E109" s="100" t="str">
        <f>IFERROR(__xludf.DUMMYFUNCTION("""COMPUTED_VALUE"""),"181.683.934-57")</f>
        <v>181.683.934-57</v>
      </c>
      <c r="F109" s="100" t="str">
        <f>IFERROR(__xludf.DUMMYFUNCTION("""COMPUTED_VALUE"""),"INFANTIL 3")</f>
        <v>INFANTIL 3</v>
      </c>
      <c r="G109" s="100" t="str">
        <f>IFERROR(__xludf.DUMMYFUNCTION("""COMPUTED_VALUE"""),"CEMEI PROFESSORA LINDOMAR DOMINGOS DA SILVA ANJOS")</f>
        <v>CEMEI PROFESSORA LINDOMAR DOMINGOS DA SILVA ANJOS</v>
      </c>
      <c r="H109" s="100" t="str">
        <f>IFERROR(__xludf.DUMMYFUNCTION("""COMPUTED_VALUE"""),"REGIONAL 5")</f>
        <v>REGIONAL 5</v>
      </c>
      <c r="I109" s="100"/>
      <c r="J109" s="100"/>
      <c r="K109" s="100"/>
      <c r="L109" s="100"/>
      <c r="M109" s="100"/>
      <c r="N109" s="100"/>
      <c r="O109" s="100"/>
      <c r="P109" s="100"/>
      <c r="Q109" s="100"/>
      <c r="R109" s="100"/>
      <c r="S109" s="100"/>
      <c r="T109" s="100"/>
      <c r="U109" s="100"/>
      <c r="V109" s="100"/>
      <c r="W109" s="100"/>
      <c r="X109" s="100"/>
      <c r="Y109" s="100"/>
      <c r="Z109" s="100"/>
    </row>
    <row r="110" ht="15.75" customHeight="1" spans="1:26">
      <c r="A110" s="100" t="str">
        <f>IFERROR(__xludf.DUMMYFUNCTION("""COMPUTED_VALUE"""),"28/01/2026 08:49:30")</f>
        <v>28/01/2026 08:49:30</v>
      </c>
      <c r="B110" s="101" t="str">
        <f>IFERROR(__xludf.DUMMYFUNCTION("""COMPUTED_VALUE"""),"5")</f>
        <v>5</v>
      </c>
      <c r="C110" s="100" t="str">
        <f>IFERROR(__xludf.DUMMYFUNCTION("""COMPUTED_VALUE"""),"JOAQUIM BRAZ SOARES DA SILVA")</f>
        <v>JOAQUIM BRAZ SOARES DA SILVA</v>
      </c>
      <c r="D110" s="100" t="str">
        <f>IFERROR(__xludf.DUMMYFUNCTION("""COMPUTED_VALUE"""),"06/03/2023")</f>
        <v>06/03/2023</v>
      </c>
      <c r="E110" s="100" t="str">
        <f>IFERROR(__xludf.DUMMYFUNCTION("""COMPUTED_VALUE"""),"184.957.744-70")</f>
        <v>184.957.744-70</v>
      </c>
      <c r="F110" s="100" t="str">
        <f>IFERROR(__xludf.DUMMYFUNCTION("""COMPUTED_VALUE"""),"INFANTIL 3")</f>
        <v>INFANTIL 3</v>
      </c>
      <c r="G110" s="100" t="str">
        <f>IFERROR(__xludf.DUMMYFUNCTION("""COMPUTED_VALUE"""),"CEMEI PROFESSORA LINDOMAR DOMINGOS DA SILVA ANJOS")</f>
        <v>CEMEI PROFESSORA LINDOMAR DOMINGOS DA SILVA ANJOS</v>
      </c>
      <c r="H110" s="100" t="str">
        <f>IFERROR(__xludf.DUMMYFUNCTION("""COMPUTED_VALUE"""),"REGIONAL 5")</f>
        <v>REGIONAL 5</v>
      </c>
      <c r="I110" s="100"/>
      <c r="J110" s="100"/>
      <c r="K110" s="100"/>
      <c r="L110" s="100"/>
      <c r="M110" s="100"/>
      <c r="N110" s="100"/>
      <c r="O110" s="100"/>
      <c r="P110" s="100"/>
      <c r="Q110" s="100"/>
      <c r="R110" s="100"/>
      <c r="S110" s="100"/>
      <c r="T110" s="100"/>
      <c r="U110" s="100"/>
      <c r="V110" s="100"/>
      <c r="W110" s="100"/>
      <c r="X110" s="100"/>
      <c r="Y110" s="100"/>
      <c r="Z110" s="100"/>
    </row>
    <row r="111" ht="15.75" customHeight="1" spans="1:26">
      <c r="A111" s="100" t="str">
        <f>IFERROR(__xludf.DUMMYFUNCTION("""COMPUTED_VALUE"""),"28/01/2026 10:50:39")</f>
        <v>28/01/2026 10:50:39</v>
      </c>
      <c r="B111" s="101" t="str">
        <f>IFERROR(__xludf.DUMMYFUNCTION("""COMPUTED_VALUE"""),"6")</f>
        <v>6</v>
      </c>
      <c r="C111" s="100" t="str">
        <f>IFERROR(__xludf.DUMMYFUNCTION("""COMPUTED_VALUE"""),"GAELL SILVA RAMOS")</f>
        <v>GAELL SILVA RAMOS</v>
      </c>
      <c r="D111" s="100" t="str">
        <f>IFERROR(__xludf.DUMMYFUNCTION("""COMPUTED_VALUE"""),"14/04/2022")</f>
        <v>14/04/2022</v>
      </c>
      <c r="E111" s="100" t="str">
        <f>IFERROR(__xludf.DUMMYFUNCTION("""COMPUTED_VALUE"""),"181.246.604-84")</f>
        <v>181.246.604-84</v>
      </c>
      <c r="F111" s="100" t="str">
        <f>IFERROR(__xludf.DUMMYFUNCTION("""COMPUTED_VALUE"""),"INFANTIL 3")</f>
        <v>INFANTIL 3</v>
      </c>
      <c r="G111" s="100" t="str">
        <f>IFERROR(__xludf.DUMMYFUNCTION("""COMPUTED_VALUE"""),"CEMEI PROFESSORA LINDOMAR DOMINGOS DA SILVA ANJOS")</f>
        <v>CEMEI PROFESSORA LINDOMAR DOMINGOS DA SILVA ANJOS</v>
      </c>
      <c r="H111" s="100" t="str">
        <f>IFERROR(__xludf.DUMMYFUNCTION("""COMPUTED_VALUE"""),"REGIONAL 5")</f>
        <v>REGIONAL 5</v>
      </c>
      <c r="I111" s="100"/>
      <c r="J111" s="100"/>
      <c r="K111" s="100"/>
      <c r="L111" s="100"/>
      <c r="M111" s="100"/>
      <c r="N111" s="100"/>
      <c r="O111" s="100"/>
      <c r="P111" s="100"/>
      <c r="Q111" s="100"/>
      <c r="R111" s="100"/>
      <c r="S111" s="100"/>
      <c r="T111" s="100"/>
      <c r="U111" s="100"/>
      <c r="V111" s="100"/>
      <c r="W111" s="100"/>
      <c r="X111" s="100"/>
      <c r="Y111" s="100"/>
      <c r="Z111" s="100"/>
    </row>
    <row r="112" ht="15.75" customHeight="1" spans="1:26">
      <c r="A112" s="100" t="str">
        <f>IFERROR(__xludf.DUMMYFUNCTION("""COMPUTED_VALUE"""),"28/01/2026 15:27:57")</f>
        <v>28/01/2026 15:27:57</v>
      </c>
      <c r="B112" s="101" t="str">
        <f>IFERROR(__xludf.DUMMYFUNCTION("""COMPUTED_VALUE"""),"7")</f>
        <v>7</v>
      </c>
      <c r="C112" s="100" t="str">
        <f>IFERROR(__xludf.DUMMYFUNCTION("""COMPUTED_VALUE"""),"ANTHONY BENJAMIM NASCIMENTO DA SILVA")</f>
        <v>ANTHONY BENJAMIM NASCIMENTO DA SILVA</v>
      </c>
      <c r="D112" s="100" t="str">
        <f>IFERROR(__xludf.DUMMYFUNCTION("""COMPUTED_VALUE"""),"19/04/2022")</f>
        <v>19/04/2022</v>
      </c>
      <c r="E112" s="100" t="str">
        <f>IFERROR(__xludf.DUMMYFUNCTION("""COMPUTED_VALUE"""),"181.296.554-03")</f>
        <v>181.296.554-03</v>
      </c>
      <c r="F112" s="100" t="str">
        <f>IFERROR(__xludf.DUMMYFUNCTION("""COMPUTED_VALUE"""),"INFANTIL 3")</f>
        <v>INFANTIL 3</v>
      </c>
      <c r="G112" s="100" t="str">
        <f>IFERROR(__xludf.DUMMYFUNCTION("""COMPUTED_VALUE"""),"CEMEI PROFESSORA LINDOMAR DOMINGOS DA SILVA ANJOS")</f>
        <v>CEMEI PROFESSORA LINDOMAR DOMINGOS DA SILVA ANJOS</v>
      </c>
      <c r="H112" s="100" t="str">
        <f>IFERROR(__xludf.DUMMYFUNCTION("""COMPUTED_VALUE"""),"REGIONAL 5")</f>
        <v>REGIONAL 5</v>
      </c>
      <c r="I112" s="100"/>
      <c r="J112" s="100"/>
      <c r="K112" s="100"/>
      <c r="L112" s="100"/>
      <c r="M112" s="100"/>
      <c r="N112" s="100"/>
      <c r="O112" s="100"/>
      <c r="P112" s="100"/>
      <c r="Q112" s="100"/>
      <c r="R112" s="100"/>
      <c r="S112" s="100"/>
      <c r="T112" s="100"/>
      <c r="U112" s="100"/>
      <c r="V112" s="100"/>
      <c r="W112" s="100"/>
      <c r="X112" s="100"/>
      <c r="Y112" s="100"/>
      <c r="Z112" s="100"/>
    </row>
    <row r="113" ht="15.75" customHeight="1" spans="1:26">
      <c r="A113" s="100" t="str">
        <f>IFERROR(__xludf.DUMMYFUNCTION("""COMPUTED_VALUE"""),"28/01/2026 16:26:14")</f>
        <v>28/01/2026 16:26:14</v>
      </c>
      <c r="B113" s="101" t="str">
        <f>IFERROR(__xludf.DUMMYFUNCTION("""COMPUTED_VALUE"""),"8")</f>
        <v>8</v>
      </c>
      <c r="C113" s="100" t="str">
        <f>IFERROR(__xludf.DUMMYFUNCTION("""COMPUTED_VALUE"""),"ANTHONY TALISSON SANTOS DA SILVA")</f>
        <v>ANTHONY TALISSON SANTOS DA SILVA</v>
      </c>
      <c r="D113" s="100" t="str">
        <f>IFERROR(__xludf.DUMMYFUNCTION("""COMPUTED_VALUE"""),"13/12/2022")</f>
        <v>13/12/2022</v>
      </c>
      <c r="E113" s="100" t="str">
        <f>IFERROR(__xludf.DUMMYFUNCTION("""COMPUTED_VALUE"""),"184.039.494-30")</f>
        <v>184.039.494-30</v>
      </c>
      <c r="F113" s="100" t="str">
        <f>IFERROR(__xludf.DUMMYFUNCTION("""COMPUTED_VALUE"""),"INFANTIL 3")</f>
        <v>INFANTIL 3</v>
      </c>
      <c r="G113" s="100" t="str">
        <f>IFERROR(__xludf.DUMMYFUNCTION("""COMPUTED_VALUE"""),"CEMEI PROFESSORA LINDOMAR DOMINGOS DA SILVA ANJOS")</f>
        <v>CEMEI PROFESSORA LINDOMAR DOMINGOS DA SILVA ANJOS</v>
      </c>
      <c r="H113" s="100" t="str">
        <f>IFERROR(__xludf.DUMMYFUNCTION("""COMPUTED_VALUE"""),"REGIONAL 5")</f>
        <v>REGIONAL 5</v>
      </c>
      <c r="I113" s="100"/>
      <c r="J113" s="100"/>
      <c r="K113" s="100"/>
      <c r="L113" s="100"/>
      <c r="M113" s="100"/>
      <c r="N113" s="100"/>
      <c r="O113" s="100"/>
      <c r="P113" s="100"/>
      <c r="Q113" s="100"/>
      <c r="R113" s="100"/>
      <c r="S113" s="100"/>
      <c r="T113" s="100"/>
      <c r="U113" s="100"/>
      <c r="V113" s="100"/>
      <c r="W113" s="100"/>
      <c r="X113" s="100"/>
      <c r="Y113" s="100"/>
      <c r="Z113" s="100"/>
    </row>
    <row r="114" ht="15.75" customHeight="1" spans="1:26">
      <c r="A114" s="100" t="str">
        <f>IFERROR(__xludf.DUMMYFUNCTION("""COMPUTED_VALUE"""),"28/01/2026 22:31:23")</f>
        <v>28/01/2026 22:31:23</v>
      </c>
      <c r="B114" s="101" t="str">
        <f>IFERROR(__xludf.DUMMYFUNCTION("""COMPUTED_VALUE"""),"9")</f>
        <v>9</v>
      </c>
      <c r="C114" s="100" t="str">
        <f>IFERROR(__xludf.DUMMYFUNCTION("""COMPUTED_VALUE"""),"LUCAS MIGUEL DA HORA SILVA")</f>
        <v>LUCAS MIGUEL DA HORA SILVA</v>
      </c>
      <c r="D114" s="100" t="str">
        <f>IFERROR(__xludf.DUMMYFUNCTION("""COMPUTED_VALUE"""),"26/12/2022")</f>
        <v>26/12/2022</v>
      </c>
      <c r="E114" s="100" t="str">
        <f>IFERROR(__xludf.DUMMYFUNCTION("""COMPUTED_VALUE"""),"184.174.244-90")</f>
        <v>184.174.244-90</v>
      </c>
      <c r="F114" s="100" t="str">
        <f>IFERROR(__xludf.DUMMYFUNCTION("""COMPUTED_VALUE"""),"INFANTIL 3")</f>
        <v>INFANTIL 3</v>
      </c>
      <c r="G114" s="100" t="str">
        <f>IFERROR(__xludf.DUMMYFUNCTION("""COMPUTED_VALUE"""),"CEMEI PROFESSORA LINDOMAR DOMINGOS DA SILVA ANJOS")</f>
        <v>CEMEI PROFESSORA LINDOMAR DOMINGOS DA SILVA ANJOS</v>
      </c>
      <c r="H114" s="100" t="str">
        <f>IFERROR(__xludf.DUMMYFUNCTION("""COMPUTED_VALUE"""),"REGIONAL 5")</f>
        <v>REGIONAL 5</v>
      </c>
      <c r="I114" s="100"/>
      <c r="J114" s="100"/>
      <c r="K114" s="100"/>
      <c r="L114" s="100"/>
      <c r="M114" s="100"/>
      <c r="N114" s="100"/>
      <c r="O114" s="100"/>
      <c r="P114" s="100"/>
      <c r="Q114" s="100"/>
      <c r="R114" s="100"/>
      <c r="S114" s="100"/>
      <c r="T114" s="100"/>
      <c r="U114" s="100"/>
      <c r="V114" s="100"/>
      <c r="W114" s="100"/>
      <c r="X114" s="100"/>
      <c r="Y114" s="100"/>
      <c r="Z114" s="100"/>
    </row>
    <row r="115" ht="15.75" customHeight="1" spans="1:26">
      <c r="A115" s="100" t="str">
        <f>IFERROR(__xludf.DUMMYFUNCTION("""COMPUTED_VALUE"""),"29/01/2026 13:04:58")</f>
        <v>29/01/2026 13:04:58</v>
      </c>
      <c r="B115" s="101" t="str">
        <f>IFERROR(__xludf.DUMMYFUNCTION("""COMPUTED_VALUE"""),"10")</f>
        <v>10</v>
      </c>
      <c r="C115" s="100" t="str">
        <f>IFERROR(__xludf.DUMMYFUNCTION("""COMPUTED_VALUE"""),"GAEL ALVES GONÇALO DA SILVA")</f>
        <v>GAEL ALVES GONÇALO DA SILVA</v>
      </c>
      <c r="D115" s="100" t="str">
        <f>IFERROR(__xludf.DUMMYFUNCTION("""COMPUTED_VALUE"""),"19/02/2023")</f>
        <v>19/02/2023</v>
      </c>
      <c r="E115" s="100" t="str">
        <f>IFERROR(__xludf.DUMMYFUNCTION("""COMPUTED_VALUE"""),"184.739.754-99")</f>
        <v>184.739.754-99</v>
      </c>
      <c r="F115" s="100" t="str">
        <f>IFERROR(__xludf.DUMMYFUNCTION("""COMPUTED_VALUE"""),"INFANTIL 3")</f>
        <v>INFANTIL 3</v>
      </c>
      <c r="G115" s="100" t="str">
        <f>IFERROR(__xludf.DUMMYFUNCTION("""COMPUTED_VALUE"""),"CEMEI PROFESSORA LINDOMAR DOMINGOS DA SILVA ANJOS")</f>
        <v>CEMEI PROFESSORA LINDOMAR DOMINGOS DA SILVA ANJOS</v>
      </c>
      <c r="H115" s="100" t="str">
        <f>IFERROR(__xludf.DUMMYFUNCTION("""COMPUTED_VALUE"""),"REGIONAL 5")</f>
        <v>REGIONAL 5</v>
      </c>
      <c r="I115" s="100"/>
      <c r="J115" s="100"/>
      <c r="K115" s="100"/>
      <c r="L115" s="100"/>
      <c r="M115" s="100"/>
      <c r="N115" s="100"/>
      <c r="O115" s="100"/>
      <c r="P115" s="100"/>
      <c r="Q115" s="100"/>
      <c r="R115" s="100"/>
      <c r="S115" s="100"/>
      <c r="T115" s="100"/>
      <c r="U115" s="100"/>
      <c r="V115" s="100"/>
      <c r="W115" s="100"/>
      <c r="X115" s="100"/>
      <c r="Y115" s="100"/>
      <c r="Z115" s="100"/>
    </row>
    <row r="116" ht="15.75" customHeight="1" spans="1:26">
      <c r="A116" s="100" t="str">
        <f>IFERROR(__xludf.DUMMYFUNCTION("""COMPUTED_VALUE"""),"29/01/2026 14:26:01")</f>
        <v>29/01/2026 14:26:01</v>
      </c>
      <c r="B116" s="101" t="str">
        <f>IFERROR(__xludf.DUMMYFUNCTION("""COMPUTED_VALUE"""),"11")</f>
        <v>11</v>
      </c>
      <c r="C116" s="100" t="str">
        <f>IFERROR(__xludf.DUMMYFUNCTION("""COMPUTED_VALUE"""),"ISAAC MIGUEL COUTINHO GENESE")</f>
        <v>ISAAC MIGUEL COUTINHO GENESE</v>
      </c>
      <c r="D116" s="100" t="str">
        <f>IFERROR(__xludf.DUMMYFUNCTION("""COMPUTED_VALUE"""),"18/02/2023")</f>
        <v>18/02/2023</v>
      </c>
      <c r="E116" s="100" t="str">
        <f>IFERROR(__xludf.DUMMYFUNCTION("""COMPUTED_VALUE"""),"185.887.974-45")</f>
        <v>185.887.974-45</v>
      </c>
      <c r="F116" s="100" t="str">
        <f>IFERROR(__xludf.DUMMYFUNCTION("""COMPUTED_VALUE"""),"INFANTIL 3")</f>
        <v>INFANTIL 3</v>
      </c>
      <c r="G116" s="100" t="str">
        <f>IFERROR(__xludf.DUMMYFUNCTION("""COMPUTED_VALUE"""),"CEMEI PROFESSORA LINDOMAR DOMINGOS DA SILVA ANJOS")</f>
        <v>CEMEI PROFESSORA LINDOMAR DOMINGOS DA SILVA ANJOS</v>
      </c>
      <c r="H116" s="100" t="str">
        <f>IFERROR(__xludf.DUMMYFUNCTION("""COMPUTED_VALUE"""),"REGIONAL 5")</f>
        <v>REGIONAL 5</v>
      </c>
      <c r="I116" s="100"/>
      <c r="J116" s="100"/>
      <c r="K116" s="100"/>
      <c r="L116" s="100"/>
      <c r="M116" s="100"/>
      <c r="N116" s="100"/>
      <c r="O116" s="100"/>
      <c r="P116" s="100"/>
      <c r="Q116" s="100"/>
      <c r="R116" s="100"/>
      <c r="S116" s="100"/>
      <c r="T116" s="100"/>
      <c r="U116" s="100"/>
      <c r="V116" s="100"/>
      <c r="W116" s="100"/>
      <c r="X116" s="100"/>
      <c r="Y116" s="100"/>
      <c r="Z116" s="100"/>
    </row>
    <row r="117" ht="15.75" customHeight="1" spans="1:26">
      <c r="A117" s="100" t="str">
        <f>IFERROR(__xludf.DUMMYFUNCTION("""COMPUTED_VALUE"""),"01/02/2026 17:23:13")</f>
        <v>01/02/2026 17:23:13</v>
      </c>
      <c r="B117" s="101" t="str">
        <f>IFERROR(__xludf.DUMMYFUNCTION("""COMPUTED_VALUE"""),"12")</f>
        <v>12</v>
      </c>
      <c r="C117" s="100" t="str">
        <f>IFERROR(__xludf.DUMMYFUNCTION("""COMPUTED_VALUE"""),"TAYARA HELENA GOMES DA SILVA")</f>
        <v>TAYARA HELENA GOMES DA SILVA</v>
      </c>
      <c r="D117" s="100" t="str">
        <f>IFERROR(__xludf.DUMMYFUNCTION("""COMPUTED_VALUE"""),"18/07/2022")</f>
        <v>18/07/2022</v>
      </c>
      <c r="E117" s="100" t="str">
        <f>IFERROR(__xludf.DUMMYFUNCTION("""COMPUTED_VALUE"""),"182.480.944-13")</f>
        <v>182.480.944-13</v>
      </c>
      <c r="F117" s="100" t="str">
        <f>IFERROR(__xludf.DUMMYFUNCTION("""COMPUTED_VALUE"""),"INFANTIL 3")</f>
        <v>INFANTIL 3</v>
      </c>
      <c r="G117" s="100" t="str">
        <f>IFERROR(__xludf.DUMMYFUNCTION("""COMPUTED_VALUE"""),"CEMEI PROFESSORA LINDOMAR DOMINGOS DA SILVA ANJOS")</f>
        <v>CEMEI PROFESSORA LINDOMAR DOMINGOS DA SILVA ANJOS</v>
      </c>
      <c r="H117" s="100" t="str">
        <f>IFERROR(__xludf.DUMMYFUNCTION("""COMPUTED_VALUE"""),"REGIONAL 5")</f>
        <v>REGIONAL 5</v>
      </c>
      <c r="I117" s="100"/>
      <c r="J117" s="100"/>
      <c r="K117" s="100"/>
      <c r="L117" s="100"/>
      <c r="M117" s="100"/>
      <c r="N117" s="100"/>
      <c r="O117" s="100"/>
      <c r="P117" s="100"/>
      <c r="Q117" s="100"/>
      <c r="R117" s="100"/>
      <c r="S117" s="100"/>
      <c r="T117" s="100"/>
      <c r="U117" s="100"/>
      <c r="V117" s="100"/>
      <c r="W117" s="100"/>
      <c r="X117" s="100"/>
      <c r="Y117" s="100"/>
      <c r="Z117" s="100"/>
    </row>
    <row r="118" ht="15.75" customHeight="1" spans="1:26">
      <c r="A118" s="100" t="str">
        <f>IFERROR(__xludf.DUMMYFUNCTION("""COMPUTED_VALUE"""),"02/02/2026 08:52:36")</f>
        <v>02/02/2026 08:52:36</v>
      </c>
      <c r="B118" s="101" t="str">
        <f>IFERROR(__xludf.DUMMYFUNCTION("""COMPUTED_VALUE"""),"13")</f>
        <v>13</v>
      </c>
      <c r="C118" s="100" t="str">
        <f>IFERROR(__xludf.DUMMYFUNCTION("""COMPUTED_VALUE"""),"NICOLAS SALAZAR NARANJO")</f>
        <v>NICOLAS SALAZAR NARANJO</v>
      </c>
      <c r="D118" s="100" t="str">
        <f>IFERROR(__xludf.DUMMYFUNCTION("""COMPUTED_VALUE"""),"20/09/2022")</f>
        <v>20/09/2022</v>
      </c>
      <c r="E118" s="100" t="str">
        <f>IFERROR(__xludf.DUMMYFUNCTION("""COMPUTED_VALUE"""),"231.291.997-48")</f>
        <v>231.291.997-48</v>
      </c>
      <c r="F118" s="100" t="str">
        <f>IFERROR(__xludf.DUMMYFUNCTION("""COMPUTED_VALUE"""),"INFANTIL 3")</f>
        <v>INFANTIL 3</v>
      </c>
      <c r="G118" s="100" t="str">
        <f>IFERROR(__xludf.DUMMYFUNCTION("""COMPUTED_VALUE"""),"CEMEI PROFESSORA LINDOMAR DOMINGOS DA SILVA ANJOS")</f>
        <v>CEMEI PROFESSORA LINDOMAR DOMINGOS DA SILVA ANJOS</v>
      </c>
      <c r="H118" s="100" t="str">
        <f>IFERROR(__xludf.DUMMYFUNCTION("""COMPUTED_VALUE"""),"REGIONAL 5")</f>
        <v>REGIONAL 5</v>
      </c>
      <c r="I118" s="100"/>
      <c r="J118" s="100"/>
      <c r="K118" s="100"/>
      <c r="L118" s="100"/>
      <c r="M118" s="100"/>
      <c r="N118" s="100"/>
      <c r="O118" s="100"/>
      <c r="P118" s="100"/>
      <c r="Q118" s="100"/>
      <c r="R118" s="100"/>
      <c r="S118" s="100"/>
      <c r="T118" s="100"/>
      <c r="U118" s="100"/>
      <c r="V118" s="100"/>
      <c r="W118" s="100"/>
      <c r="X118" s="100"/>
      <c r="Y118" s="100"/>
      <c r="Z118" s="100"/>
    </row>
    <row r="119" ht="15.75" customHeight="1" spans="1:26">
      <c r="A119" s="100" t="str">
        <f>IFERROR(__xludf.DUMMYFUNCTION("""COMPUTED_VALUE"""),"04/02/2026 14:48:24")</f>
        <v>04/02/2026 14:48:24</v>
      </c>
      <c r="B119" s="101" t="str">
        <f>IFERROR(__xludf.DUMMYFUNCTION("""COMPUTED_VALUE"""),"14")</f>
        <v>14</v>
      </c>
      <c r="C119" s="100" t="str">
        <f>IFERROR(__xludf.DUMMYFUNCTION("""COMPUTED_VALUE"""),"RAKELLY LÍVIA AVELINA DA SILVA")</f>
        <v>RAKELLY LÍVIA AVELINA DA SILVA</v>
      </c>
      <c r="D119" s="100" t="str">
        <f>IFERROR(__xludf.DUMMYFUNCTION("""COMPUTED_VALUE"""),"06/03/2023")</f>
        <v>06/03/2023</v>
      </c>
      <c r="E119" s="100" t="str">
        <f>IFERROR(__xludf.DUMMYFUNCTION("""COMPUTED_VALUE"""),"184.728.154-04")</f>
        <v>184.728.154-04</v>
      </c>
      <c r="F119" s="100" t="str">
        <f>IFERROR(__xludf.DUMMYFUNCTION("""COMPUTED_VALUE"""),"INFANTIL 3")</f>
        <v>INFANTIL 3</v>
      </c>
      <c r="G119" s="100" t="str">
        <f>IFERROR(__xludf.DUMMYFUNCTION("""COMPUTED_VALUE"""),"CEMEI PROFESSORA LINDOMAR DOMINGOS DA SILVA ANJOS")</f>
        <v>CEMEI PROFESSORA LINDOMAR DOMINGOS DA SILVA ANJOS</v>
      </c>
      <c r="H119" s="100" t="str">
        <f>IFERROR(__xludf.DUMMYFUNCTION("""COMPUTED_VALUE"""),"REGIONAL 5")</f>
        <v>REGIONAL 5</v>
      </c>
      <c r="I119" s="100"/>
      <c r="J119" s="100"/>
      <c r="K119" s="100"/>
      <c r="L119" s="100"/>
      <c r="M119" s="100"/>
      <c r="N119" s="100"/>
      <c r="O119" s="100"/>
      <c r="P119" s="100"/>
      <c r="Q119" s="100"/>
      <c r="R119" s="100"/>
      <c r="S119" s="100"/>
      <c r="T119" s="100"/>
      <c r="U119" s="100"/>
      <c r="V119" s="100"/>
      <c r="W119" s="100"/>
      <c r="X119" s="100"/>
      <c r="Y119" s="100"/>
      <c r="Z119" s="100"/>
    </row>
    <row r="120" ht="15.75" customHeight="1" spans="1:26">
      <c r="A120" s="100" t="str">
        <f>IFERROR(__xludf.DUMMYFUNCTION("""COMPUTED_VALUE"""),"05/02/2026 15:38:25")</f>
        <v>05/02/2026 15:38:25</v>
      </c>
      <c r="B120" s="101" t="str">
        <f>IFERROR(__xludf.DUMMYFUNCTION("""COMPUTED_VALUE"""),"15")</f>
        <v>15</v>
      </c>
      <c r="C120" s="100" t="str">
        <f>IFERROR(__xludf.DUMMYFUNCTION("""COMPUTED_VALUE"""),"ANA LAURA MEDEIROS SOUZA DOS SANTOS")</f>
        <v>ANA LAURA MEDEIROS SOUZA DOS SANTOS</v>
      </c>
      <c r="D120" s="100" t="str">
        <f>IFERROR(__xludf.DUMMYFUNCTION("""COMPUTED_VALUE"""),"13/06/2022")</f>
        <v>13/06/2022</v>
      </c>
      <c r="E120" s="100" t="str">
        <f>IFERROR(__xludf.DUMMYFUNCTION("""COMPUTED_VALUE"""),"181.899.694-47")</f>
        <v>181.899.694-47</v>
      </c>
      <c r="F120" s="100" t="str">
        <f>IFERROR(__xludf.DUMMYFUNCTION("""COMPUTED_VALUE"""),"INFANTIL 3")</f>
        <v>INFANTIL 3</v>
      </c>
      <c r="G120" s="100" t="str">
        <f>IFERROR(__xludf.DUMMYFUNCTION("""COMPUTED_VALUE"""),"CEMEI PROFESSORA LINDOMAR DOMINGOS DA SILVA ANJOS")</f>
        <v>CEMEI PROFESSORA LINDOMAR DOMINGOS DA SILVA ANJOS</v>
      </c>
      <c r="H120" s="100" t="str">
        <f>IFERROR(__xludf.DUMMYFUNCTION("""COMPUTED_VALUE"""),"REGIONAL 5")</f>
        <v>REGIONAL 5</v>
      </c>
      <c r="I120" s="100"/>
      <c r="J120" s="100"/>
      <c r="K120" s="100"/>
      <c r="L120" s="100"/>
      <c r="M120" s="100"/>
      <c r="N120" s="100"/>
      <c r="O120" s="100"/>
      <c r="P120" s="100"/>
      <c r="Q120" s="100"/>
      <c r="R120" s="100"/>
      <c r="S120" s="100"/>
      <c r="T120" s="100"/>
      <c r="U120" s="100"/>
      <c r="V120" s="100"/>
      <c r="W120" s="100"/>
      <c r="X120" s="100"/>
      <c r="Y120" s="100"/>
      <c r="Z120" s="100"/>
    </row>
    <row r="121" ht="15.75" customHeight="1" spans="1:26">
      <c r="A121" s="100" t="str">
        <f>IFERROR(__xludf.DUMMYFUNCTION("""COMPUTED_VALUE"""),"06/02/2026 15:36:56")</f>
        <v>06/02/2026 15:36:56</v>
      </c>
      <c r="B121" s="101" t="str">
        <f>IFERROR(__xludf.DUMMYFUNCTION("""COMPUTED_VALUE"""),"16")</f>
        <v>16</v>
      </c>
      <c r="C121" s="100" t="str">
        <f>IFERROR(__xludf.DUMMYFUNCTION("""COMPUTED_VALUE"""),"MARIA BEATRIZ DA SILVA")</f>
        <v>MARIA BEATRIZ DA SILVA</v>
      </c>
      <c r="D121" s="100" t="str">
        <f>IFERROR(__xludf.DUMMYFUNCTION("""COMPUTED_VALUE"""),"13/11/2022")</f>
        <v>13/11/2022</v>
      </c>
      <c r="E121" s="100" t="str">
        <f>IFERROR(__xludf.DUMMYFUNCTION("""COMPUTED_VALUE"""),"183.426.674-21")</f>
        <v>183.426.674-21</v>
      </c>
      <c r="F121" s="100" t="str">
        <f>IFERROR(__xludf.DUMMYFUNCTION("""COMPUTED_VALUE"""),"INFANTIL 3")</f>
        <v>INFANTIL 3</v>
      </c>
      <c r="G121" s="100" t="str">
        <f>IFERROR(__xludf.DUMMYFUNCTION("""COMPUTED_VALUE"""),"CEMEI PROFESSORA LINDOMAR DOMINGOS DA SILVA ANJOS")</f>
        <v>CEMEI PROFESSORA LINDOMAR DOMINGOS DA SILVA ANJOS</v>
      </c>
      <c r="H121" s="100" t="str">
        <f>IFERROR(__xludf.DUMMYFUNCTION("""COMPUTED_VALUE"""),"REGIONAL 5")</f>
        <v>REGIONAL 5</v>
      </c>
      <c r="I121" s="100"/>
      <c r="J121" s="100"/>
      <c r="K121" s="100"/>
      <c r="L121" s="100"/>
      <c r="M121" s="100"/>
      <c r="N121" s="100"/>
      <c r="O121" s="100"/>
      <c r="P121" s="100"/>
      <c r="Q121" s="100"/>
      <c r="R121" s="100"/>
      <c r="S121" s="100"/>
      <c r="T121" s="100"/>
      <c r="U121" s="100"/>
      <c r="V121" s="100"/>
      <c r="W121" s="100"/>
      <c r="X121" s="100"/>
      <c r="Y121" s="100"/>
      <c r="Z121" s="100"/>
    </row>
    <row r="122" ht="15.75" customHeight="1" spans="1:26">
      <c r="A122" s="100" t="str">
        <f>IFERROR(__xludf.DUMMYFUNCTION("""COMPUTED_VALUE"""),"10/02/2026 09:04:52")</f>
        <v>10/02/2026 09:04:52</v>
      </c>
      <c r="B122" s="101" t="str">
        <f>IFERROR(__xludf.DUMMYFUNCTION("""COMPUTED_VALUE"""),"17")</f>
        <v>17</v>
      </c>
      <c r="C122" s="100" t="str">
        <f>IFERROR(__xludf.DUMMYFUNCTION("""COMPUTED_VALUE"""),"ANA CLARA MEDEIROS SOUZA DOS SANTOS")</f>
        <v>ANA CLARA MEDEIROS SOUZA DOS SANTOS</v>
      </c>
      <c r="D122" s="100" t="str">
        <f>IFERROR(__xludf.DUMMYFUNCTION("""COMPUTED_VALUE"""),"13/06/2022")</f>
        <v>13/06/2022</v>
      </c>
      <c r="E122" s="100" t="str">
        <f>IFERROR(__xludf.DUMMYFUNCTION("""COMPUTED_VALUE"""),"181.899.534-43")</f>
        <v>181.899.534-43</v>
      </c>
      <c r="F122" s="100" t="str">
        <f>IFERROR(__xludf.DUMMYFUNCTION("""COMPUTED_VALUE"""),"INFANTIL 3")</f>
        <v>INFANTIL 3</v>
      </c>
      <c r="G122" s="100" t="str">
        <f>IFERROR(__xludf.DUMMYFUNCTION("""COMPUTED_VALUE"""),"CEMEI PROFESSORA LINDOMAR DOMINGOS DA SILVA ANJOS")</f>
        <v>CEMEI PROFESSORA LINDOMAR DOMINGOS DA SILVA ANJOS</v>
      </c>
      <c r="H122" s="100" t="str">
        <f>IFERROR(__xludf.DUMMYFUNCTION("""COMPUTED_VALUE"""),"REGIONAL 5")</f>
        <v>REGIONAL 5</v>
      </c>
      <c r="I122" s="100"/>
      <c r="J122" s="100"/>
      <c r="K122" s="100"/>
      <c r="L122" s="100"/>
      <c r="M122" s="100"/>
      <c r="N122" s="100"/>
      <c r="O122" s="100"/>
      <c r="P122" s="100"/>
      <c r="Q122" s="100"/>
      <c r="R122" s="100"/>
      <c r="S122" s="100"/>
      <c r="T122" s="100"/>
      <c r="U122" s="100"/>
      <c r="V122" s="100"/>
      <c r="W122" s="100"/>
      <c r="X122" s="100"/>
      <c r="Y122" s="100"/>
      <c r="Z122" s="100"/>
    </row>
    <row r="123" ht="15.75" customHeight="1" spans="1:26">
      <c r="A123" s="100" t="str">
        <f>IFERROR(__xludf.DUMMYFUNCTION("""COMPUTED_VALUE"""),"10/02/2026 10:01:04")</f>
        <v>10/02/2026 10:01:04</v>
      </c>
      <c r="B123" s="101" t="str">
        <f>IFERROR(__xludf.DUMMYFUNCTION("""COMPUTED_VALUE"""),"18")</f>
        <v>18</v>
      </c>
      <c r="C123" s="100" t="str">
        <f>IFERROR(__xludf.DUMMYFUNCTION("""COMPUTED_VALUE"""),"RAYANE VITÓRIA DA SILVA MARAVILHA")</f>
        <v>RAYANE VITÓRIA DA SILVA MARAVILHA</v>
      </c>
      <c r="D123" s="100" t="str">
        <f>IFERROR(__xludf.DUMMYFUNCTION("""COMPUTED_VALUE"""),"22/08/2022")</f>
        <v>22/08/2022</v>
      </c>
      <c r="E123" s="100" t="str">
        <f>IFERROR(__xludf.DUMMYFUNCTION("""COMPUTED_VALUE"""),"182.666.294-47")</f>
        <v>182.666.294-47</v>
      </c>
      <c r="F123" s="100" t="str">
        <f>IFERROR(__xludf.DUMMYFUNCTION("""COMPUTED_VALUE"""),"INFANTIL 3")</f>
        <v>INFANTIL 3</v>
      </c>
      <c r="G123" s="100" t="str">
        <f>IFERROR(__xludf.DUMMYFUNCTION("""COMPUTED_VALUE"""),"CEMEI PROFESSORA LINDOMAR DOMINGOS DA SILVA ANJOS")</f>
        <v>CEMEI PROFESSORA LINDOMAR DOMINGOS DA SILVA ANJOS</v>
      </c>
      <c r="H123" s="100" t="str">
        <f>IFERROR(__xludf.DUMMYFUNCTION("""COMPUTED_VALUE"""),"REGIONAL 5")</f>
        <v>REGIONAL 5</v>
      </c>
      <c r="I123" s="100"/>
      <c r="J123" s="100"/>
      <c r="K123" s="100"/>
      <c r="L123" s="100"/>
      <c r="M123" s="100"/>
      <c r="N123" s="100"/>
      <c r="O123" s="100"/>
      <c r="P123" s="100"/>
      <c r="Q123" s="100"/>
      <c r="R123" s="100"/>
      <c r="S123" s="100"/>
      <c r="T123" s="100"/>
      <c r="U123" s="100"/>
      <c r="V123" s="100"/>
      <c r="W123" s="100"/>
      <c r="X123" s="100"/>
      <c r="Y123" s="100"/>
      <c r="Z123" s="100"/>
    </row>
    <row r="124" ht="15.75" customHeight="1" spans="1:26">
      <c r="A124" s="100" t="str">
        <f>IFERROR(__xludf.DUMMYFUNCTION("""COMPUTED_VALUE"""),"19/02/2026 09:51:04")</f>
        <v>19/02/2026 09:51:04</v>
      </c>
      <c r="B124" s="101" t="str">
        <f>IFERROR(__xludf.DUMMYFUNCTION("""COMPUTED_VALUE"""),"19")</f>
        <v>19</v>
      </c>
      <c r="C124" s="100" t="str">
        <f>IFERROR(__xludf.DUMMYFUNCTION("""COMPUTED_VALUE"""),"ANNA LAURA BATISTA SILVA")</f>
        <v>ANNA LAURA BATISTA SILVA</v>
      </c>
      <c r="D124" s="100" t="str">
        <f>IFERROR(__xludf.DUMMYFUNCTION("""COMPUTED_VALUE"""),"28/08/2022")</f>
        <v>28/08/2022</v>
      </c>
      <c r="E124" s="100" t="str">
        <f>IFERROR(__xludf.DUMMYFUNCTION("""COMPUTED_VALUE"""),"183.545.274-41")</f>
        <v>183.545.274-41</v>
      </c>
      <c r="F124" s="100" t="str">
        <f>IFERROR(__xludf.DUMMYFUNCTION("""COMPUTED_VALUE"""),"INFANTIL 3")</f>
        <v>INFANTIL 3</v>
      </c>
      <c r="G124" s="100" t="str">
        <f>IFERROR(__xludf.DUMMYFUNCTION("""COMPUTED_VALUE"""),"CEMEI PROFESSORA LINDOMAR DOMINGOS DA SILVA ANJOS")</f>
        <v>CEMEI PROFESSORA LINDOMAR DOMINGOS DA SILVA ANJOS</v>
      </c>
      <c r="H124" s="100" t="str">
        <f>IFERROR(__xludf.DUMMYFUNCTION("""COMPUTED_VALUE"""),"REGIONAL 5")</f>
        <v>REGIONAL 5</v>
      </c>
      <c r="I124" s="100"/>
      <c r="J124" s="100"/>
      <c r="K124" s="100"/>
      <c r="L124" s="100"/>
      <c r="M124" s="100"/>
      <c r="N124" s="100"/>
      <c r="O124" s="100"/>
      <c r="P124" s="100"/>
      <c r="Q124" s="100"/>
      <c r="R124" s="100"/>
      <c r="S124" s="100"/>
      <c r="T124" s="100"/>
      <c r="U124" s="100"/>
      <c r="V124" s="100"/>
      <c r="W124" s="100"/>
      <c r="X124" s="100"/>
      <c r="Y124" s="100"/>
      <c r="Z124" s="100"/>
    </row>
    <row r="125" ht="15.75" customHeight="1" spans="1:26">
      <c r="A125" s="100" t="str">
        <f>IFERROR(__xludf.DUMMYFUNCTION("""COMPUTED_VALUE"""),"19/02/2026 16:10:29")</f>
        <v>19/02/2026 16:10:29</v>
      </c>
      <c r="B125" s="101" t="str">
        <f>IFERROR(__xludf.DUMMYFUNCTION("""COMPUTED_VALUE"""),"20")</f>
        <v>20</v>
      </c>
      <c r="C125" s="100" t="str">
        <f>IFERROR(__xludf.DUMMYFUNCTION("""COMPUTED_VALUE"""),"LIZ FERREIRA LEODORO")</f>
        <v>LIZ FERREIRA LEODORO</v>
      </c>
      <c r="D125" s="100" t="str">
        <f>IFERROR(__xludf.DUMMYFUNCTION("""COMPUTED_VALUE"""),"19/07/2022")</f>
        <v>19/07/2022</v>
      </c>
      <c r="E125" s="100" t="str">
        <f>IFERROR(__xludf.DUMMYFUNCTION("""COMPUTED_VALUE"""),"182.291.174-54")</f>
        <v>182.291.174-54</v>
      </c>
      <c r="F125" s="100" t="str">
        <f>IFERROR(__xludf.DUMMYFUNCTION("""COMPUTED_VALUE"""),"INFANTIL 3")</f>
        <v>INFANTIL 3</v>
      </c>
      <c r="G125" s="100" t="str">
        <f>IFERROR(__xludf.DUMMYFUNCTION("""COMPUTED_VALUE"""),"CEMEI PROFESSORA LINDOMAR DOMINGOS DA SILVA ANJOS")</f>
        <v>CEMEI PROFESSORA LINDOMAR DOMINGOS DA SILVA ANJOS</v>
      </c>
      <c r="H125" s="100" t="str">
        <f>IFERROR(__xludf.DUMMYFUNCTION("""COMPUTED_VALUE"""),"REGIONAL 5")</f>
        <v>REGIONAL 5</v>
      </c>
      <c r="I125" s="100"/>
      <c r="J125" s="100"/>
      <c r="K125" s="100"/>
      <c r="L125" s="100"/>
      <c r="M125" s="100"/>
      <c r="N125" s="100"/>
      <c r="O125" s="100"/>
      <c r="P125" s="100"/>
      <c r="Q125" s="100"/>
      <c r="R125" s="100"/>
      <c r="S125" s="100"/>
      <c r="T125" s="100"/>
      <c r="U125" s="100"/>
      <c r="V125" s="100"/>
      <c r="W125" s="100"/>
      <c r="X125" s="100"/>
      <c r="Y125" s="100"/>
      <c r="Z125" s="100"/>
    </row>
    <row r="126" ht="15.75" customHeight="1" spans="1:26">
      <c r="A126" s="100" t="str">
        <f>IFERROR(__xludf.DUMMYFUNCTION("""COMPUTED_VALUE"""),"03/03/2026 13:51:57")</f>
        <v>03/03/2026 13:51:57</v>
      </c>
      <c r="B126" s="101" t="str">
        <f>IFERROR(__xludf.DUMMYFUNCTION("""COMPUTED_VALUE"""),"21")</f>
        <v>21</v>
      </c>
      <c r="C126" s="100" t="str">
        <f>IFERROR(__xludf.DUMMYFUNCTION("""COMPUTED_VALUE"""),"THEO RAFAEL DEODATO DE MEDEIROS")</f>
        <v>THEO RAFAEL DEODATO DE MEDEIROS</v>
      </c>
      <c r="D126" s="100" t="str">
        <f>IFERROR(__xludf.DUMMYFUNCTION("""COMPUTED_VALUE"""),"15/03/2023")</f>
        <v>15/03/2023</v>
      </c>
      <c r="E126" s="100" t="str">
        <f>IFERROR(__xludf.DUMMYFUNCTION("""COMPUTED_VALUE"""),"184.730.544-07")</f>
        <v>184.730.544-07</v>
      </c>
      <c r="F126" s="100" t="str">
        <f>IFERROR(__xludf.DUMMYFUNCTION("""COMPUTED_VALUE"""),"INFANTIL 3")</f>
        <v>INFANTIL 3</v>
      </c>
      <c r="G126" s="100" t="str">
        <f>IFERROR(__xludf.DUMMYFUNCTION("""COMPUTED_VALUE"""),"CEMEI PROFESSORA LINDOMAR DOMINGOS DA SILVA ANJOS")</f>
        <v>CEMEI PROFESSORA LINDOMAR DOMINGOS DA SILVA ANJOS</v>
      </c>
      <c r="H126" s="100" t="str">
        <f>IFERROR(__xludf.DUMMYFUNCTION("""COMPUTED_VALUE"""),"REGIONAL 5")</f>
        <v>REGIONAL 5</v>
      </c>
      <c r="I126" s="100"/>
      <c r="J126" s="100"/>
      <c r="K126" s="100"/>
      <c r="L126" s="100"/>
      <c r="M126" s="100"/>
      <c r="N126" s="100"/>
      <c r="O126" s="100"/>
      <c r="P126" s="100"/>
      <c r="Q126" s="100"/>
      <c r="R126" s="100"/>
      <c r="S126" s="100"/>
      <c r="T126" s="100"/>
      <c r="U126" s="100"/>
      <c r="V126" s="100"/>
      <c r="W126" s="100"/>
      <c r="X126" s="100"/>
      <c r="Y126" s="100"/>
      <c r="Z126" s="100"/>
    </row>
    <row r="127" ht="15.75" customHeight="1" spans="1:26">
      <c r="A127" s="100" t="str">
        <f>IFERROR(__xludf.DUMMYFUNCTION("""COMPUTED_VALUE"""),"24/03/2026 15:33:58")</f>
        <v>24/03/2026 15:33:58</v>
      </c>
      <c r="B127" s="101" t="str">
        <f>IFERROR(__xludf.DUMMYFUNCTION("""COMPUTED_VALUE"""),"22")</f>
        <v>22</v>
      </c>
      <c r="C127" s="100" t="str">
        <f>IFERROR(__xludf.DUMMYFUNCTION("""COMPUTED_VALUE"""),"AYLLA VITÓRIA CAETANO DOS SANTOS")</f>
        <v>AYLLA VITÓRIA CAETANO DOS SANTOS</v>
      </c>
      <c r="D127" s="100" t="str">
        <f>IFERROR(__xludf.DUMMYFUNCTION("""COMPUTED_VALUE"""),"06/10/2022")</f>
        <v>06/10/2022</v>
      </c>
      <c r="E127" s="100" t="str">
        <f>IFERROR(__xludf.DUMMYFUNCTION("""COMPUTED_VALUE"""),"093.237.424-73")</f>
        <v>093.237.424-73</v>
      </c>
      <c r="F127" s="100" t="str">
        <f>IFERROR(__xludf.DUMMYFUNCTION("""COMPUTED_VALUE"""),"INFANTIL 3")</f>
        <v>INFANTIL 3</v>
      </c>
      <c r="G127" s="100" t="str">
        <f>IFERROR(__xludf.DUMMYFUNCTION("""COMPUTED_VALUE"""),"CEMEI PROFESSORA LINDOMAR DOMINGOS DA SILVA ANJOS")</f>
        <v>CEMEI PROFESSORA LINDOMAR DOMINGOS DA SILVA ANJOS</v>
      </c>
      <c r="H127" s="100" t="str">
        <f>IFERROR(__xludf.DUMMYFUNCTION("""COMPUTED_VALUE"""),"REGIONAL 5")</f>
        <v>REGIONAL 5</v>
      </c>
      <c r="I127" s="100"/>
      <c r="J127" s="100"/>
      <c r="K127" s="100"/>
      <c r="L127" s="100"/>
      <c r="M127" s="100"/>
      <c r="N127" s="100"/>
      <c r="O127" s="100"/>
      <c r="P127" s="100"/>
      <c r="Q127" s="100"/>
      <c r="R127" s="100"/>
      <c r="S127" s="100"/>
      <c r="T127" s="100"/>
      <c r="U127" s="100"/>
      <c r="V127" s="100"/>
      <c r="W127" s="100"/>
      <c r="X127" s="100"/>
      <c r="Y127" s="100"/>
      <c r="Z127" s="100"/>
    </row>
    <row r="128" ht="15.75" customHeight="1" spans="1:26">
      <c r="A128" s="100" t="str">
        <f>IFERROR(__xludf.DUMMYFUNCTION("""COMPUTED_VALUE"""),"09/04/2026 12:42:59")</f>
        <v>09/04/2026 12:42:59</v>
      </c>
      <c r="B128" s="101" t="str">
        <f>IFERROR(__xludf.DUMMYFUNCTION("""COMPUTED_VALUE"""),"23")</f>
        <v>23</v>
      </c>
      <c r="C128" s="100" t="str">
        <f>IFERROR(__xludf.DUMMYFUNCTION("""COMPUTED_VALUE"""),"TAWANE EMANUELLEY DA SILVA")</f>
        <v>TAWANE EMANUELLEY DA SILVA</v>
      </c>
      <c r="D128" s="100" t="str">
        <f>IFERROR(__xludf.DUMMYFUNCTION("""COMPUTED_VALUE"""),"28/09/2022")</f>
        <v>28/09/2022</v>
      </c>
      <c r="E128" s="100" t="str">
        <f>IFERROR(__xludf.DUMMYFUNCTION("""COMPUTED_VALUE"""),"183.002.884-73")</f>
        <v>183.002.884-73</v>
      </c>
      <c r="F128" s="100" t="str">
        <f>IFERROR(__xludf.DUMMYFUNCTION("""COMPUTED_VALUE"""),"INFANTIL 3")</f>
        <v>INFANTIL 3</v>
      </c>
      <c r="G128" s="100" t="str">
        <f>IFERROR(__xludf.DUMMYFUNCTION("""COMPUTED_VALUE"""),"CEMEI PROFESSORA LINDOMAR DOMINGOS DA SILVA ANJOS")</f>
        <v>CEMEI PROFESSORA LINDOMAR DOMINGOS DA SILVA ANJOS</v>
      </c>
      <c r="H128" s="100" t="str">
        <f>IFERROR(__xludf.DUMMYFUNCTION("""COMPUTED_VALUE"""),"REGIONAL 5")</f>
        <v>REGIONAL 5</v>
      </c>
      <c r="I128" s="100"/>
      <c r="J128" s="100"/>
      <c r="K128" s="100"/>
      <c r="L128" s="100"/>
      <c r="M128" s="100"/>
      <c r="N128" s="100"/>
      <c r="O128" s="100"/>
      <c r="P128" s="100"/>
      <c r="Q128" s="100"/>
      <c r="R128" s="100"/>
      <c r="S128" s="100"/>
      <c r="T128" s="100"/>
      <c r="U128" s="100"/>
      <c r="V128" s="100"/>
      <c r="W128" s="100"/>
      <c r="X128" s="100"/>
      <c r="Y128" s="100"/>
      <c r="Z128" s="100"/>
    </row>
    <row r="129" ht="15.75" customHeight="1" spans="1:26">
      <c r="A129" s="100" t="str">
        <f>IFERROR(__xludf.DUMMYFUNCTION("""COMPUTED_VALUE"""),"15/04/2026 12:12:34")</f>
        <v>15/04/2026 12:12:34</v>
      </c>
      <c r="B129" s="101" t="str">
        <f>IFERROR(__xludf.DUMMYFUNCTION("""COMPUTED_VALUE"""),"24")</f>
        <v>24</v>
      </c>
      <c r="C129" s="100" t="str">
        <f>IFERROR(__xludf.DUMMYFUNCTION("""COMPUTED_VALUE"""),"LARA MARIA MARTINS DO CARMO")</f>
        <v>LARA MARIA MARTINS DO CARMO</v>
      </c>
      <c r="D129" s="100" t="str">
        <f>IFERROR(__xludf.DUMMYFUNCTION("""COMPUTED_VALUE"""),"15/05/2022")</f>
        <v>15/05/2022</v>
      </c>
      <c r="E129" s="100" t="str">
        <f>IFERROR(__xludf.DUMMYFUNCTION("""COMPUTED_VALUE"""),"181.852.304-39")</f>
        <v>181.852.304-39</v>
      </c>
      <c r="F129" s="100" t="str">
        <f>IFERROR(__xludf.DUMMYFUNCTION("""COMPUTED_VALUE"""),"INFANTIL 3")</f>
        <v>INFANTIL 3</v>
      </c>
      <c r="G129" s="100" t="str">
        <f>IFERROR(__xludf.DUMMYFUNCTION("""COMPUTED_VALUE"""),"CEMEI PROFESSORA LINDOMAR DOMINGOS DA SILVA ANJOS")</f>
        <v>CEMEI PROFESSORA LINDOMAR DOMINGOS DA SILVA ANJOS</v>
      </c>
      <c r="H129" s="100" t="str">
        <f>IFERROR(__xludf.DUMMYFUNCTION("""COMPUTED_VALUE"""),"REGIONAL 5")</f>
        <v>REGIONAL 5</v>
      </c>
      <c r="I129" s="100"/>
      <c r="J129" s="100"/>
      <c r="K129" s="100"/>
      <c r="L129" s="100"/>
      <c r="M129" s="100"/>
      <c r="N129" s="100"/>
      <c r="O129" s="100"/>
      <c r="P129" s="100"/>
      <c r="Q129" s="100"/>
      <c r="R129" s="100"/>
      <c r="S129" s="100"/>
      <c r="T129" s="100"/>
      <c r="U129" s="100"/>
      <c r="V129" s="100"/>
      <c r="W129" s="100"/>
      <c r="X129" s="100"/>
      <c r="Y129" s="100"/>
      <c r="Z129" s="100"/>
    </row>
    <row r="130" ht="15.75" customHeight="1" spans="1:26">
      <c r="A130" s="100" t="str">
        <f>IFERROR(__xludf.DUMMYFUNCTION("""COMPUTED_VALUE"""),"15/04/2026 20:08:01")</f>
        <v>15/04/2026 20:08:01</v>
      </c>
      <c r="B130" s="101" t="str">
        <f>IFERROR(__xludf.DUMMYFUNCTION("""COMPUTED_VALUE"""),"25")</f>
        <v>25</v>
      </c>
      <c r="C130" s="100" t="str">
        <f>IFERROR(__xludf.DUMMYFUNCTION("""COMPUTED_VALUE"""),"MARIA LIZ VIEIRA DA SILVA")</f>
        <v>MARIA LIZ VIEIRA DA SILVA</v>
      </c>
      <c r="D130" s="100" t="str">
        <f>IFERROR(__xludf.DUMMYFUNCTION("""COMPUTED_VALUE"""),"06/03/2023")</f>
        <v>06/03/2023</v>
      </c>
      <c r="E130" s="100" t="str">
        <f>IFERROR(__xludf.DUMMYFUNCTION("""COMPUTED_VALUE"""),"184.686.634-09")</f>
        <v>184.686.634-09</v>
      </c>
      <c r="F130" s="100" t="str">
        <f>IFERROR(__xludf.DUMMYFUNCTION("""COMPUTED_VALUE"""),"INFANTIL 3")</f>
        <v>INFANTIL 3</v>
      </c>
      <c r="G130" s="100" t="str">
        <f>IFERROR(__xludf.DUMMYFUNCTION("""COMPUTED_VALUE"""),"CEMEI PROFESSORA LINDOMAR DOMINGOS DA SILVA ANJOS")</f>
        <v>CEMEI PROFESSORA LINDOMAR DOMINGOS DA SILVA ANJOS</v>
      </c>
      <c r="H130" s="100" t="str">
        <f>IFERROR(__xludf.DUMMYFUNCTION("""COMPUTED_VALUE"""),"REGIONAL 5")</f>
        <v>REGIONAL 5</v>
      </c>
      <c r="I130" s="100"/>
      <c r="J130" s="100"/>
      <c r="K130" s="100"/>
      <c r="L130" s="100"/>
      <c r="M130" s="100"/>
      <c r="N130" s="100"/>
      <c r="O130" s="100"/>
      <c r="P130" s="100"/>
      <c r="Q130" s="100"/>
      <c r="R130" s="100"/>
      <c r="S130" s="100"/>
      <c r="T130" s="100"/>
      <c r="U130" s="100"/>
      <c r="V130" s="100"/>
      <c r="W130" s="100"/>
      <c r="X130" s="100"/>
      <c r="Y130" s="100"/>
      <c r="Z130" s="100"/>
    </row>
    <row r="131" ht="15.75" customHeight="1" spans="1:26">
      <c r="A131" s="100" t="str">
        <f>IFERROR(__xludf.DUMMYFUNCTION("""COMPUTED_VALUE"""),"24/04/2026 15:30:49")</f>
        <v>24/04/2026 15:30:49</v>
      </c>
      <c r="B131" s="101" t="str">
        <f>IFERROR(__xludf.DUMMYFUNCTION("""COMPUTED_VALUE"""),"26")</f>
        <v>26</v>
      </c>
      <c r="C131" s="100" t="str">
        <f>IFERROR(__xludf.DUMMYFUNCTION("""COMPUTED_VALUE"""),"LAURA GABRIELY DA SILVA MELO")</f>
        <v>LAURA GABRIELY DA SILVA MELO</v>
      </c>
      <c r="D131" s="100" t="str">
        <f>IFERROR(__xludf.DUMMYFUNCTION("""COMPUTED_VALUE"""),"27/07/2022")</f>
        <v>27/07/2022</v>
      </c>
      <c r="E131" s="100" t="str">
        <f>IFERROR(__xludf.DUMMYFUNCTION("""COMPUTED_VALUE"""),"182.841.544-80")</f>
        <v>182.841.544-80</v>
      </c>
      <c r="F131" s="100" t="str">
        <f>IFERROR(__xludf.DUMMYFUNCTION("""COMPUTED_VALUE"""),"INFANTIL 3")</f>
        <v>INFANTIL 3</v>
      </c>
      <c r="G131" s="100" t="str">
        <f>IFERROR(__xludf.DUMMYFUNCTION("""COMPUTED_VALUE"""),"CEMEI PROFESSORA LINDOMAR DOMINGOS DA SILVA ANJOS")</f>
        <v>CEMEI PROFESSORA LINDOMAR DOMINGOS DA SILVA ANJOS</v>
      </c>
      <c r="H131" s="100" t="str">
        <f>IFERROR(__xludf.DUMMYFUNCTION("""COMPUTED_VALUE"""),"REGIONAL 5")</f>
        <v>REGIONAL 5</v>
      </c>
      <c r="I131" s="100"/>
      <c r="J131" s="100"/>
      <c r="K131" s="100"/>
      <c r="L131" s="100"/>
      <c r="M131" s="100"/>
      <c r="N131" s="100"/>
      <c r="O131" s="100"/>
      <c r="P131" s="100"/>
      <c r="Q131" s="100"/>
      <c r="R131" s="100"/>
      <c r="S131" s="100"/>
      <c r="T131" s="100"/>
      <c r="U131" s="100"/>
      <c r="V131" s="100"/>
      <c r="W131" s="100"/>
      <c r="X131" s="100"/>
      <c r="Y131" s="100"/>
      <c r="Z131" s="100"/>
    </row>
    <row r="132" ht="15.75" customHeight="1" spans="1:26">
      <c r="A132" s="100" t="str">
        <f>IFERROR(__xludf.DUMMYFUNCTION("""COMPUTED_VALUE"""),"13/05/2026 09:51:31")</f>
        <v>13/05/2026 09:51:31</v>
      </c>
      <c r="B132" s="101" t="str">
        <f>IFERROR(__xludf.DUMMYFUNCTION("""COMPUTED_VALUE"""),"27")</f>
        <v>27</v>
      </c>
      <c r="C132" s="100" t="str">
        <f>IFERROR(__xludf.DUMMYFUNCTION("""COMPUTED_VALUE"""),"ANTHONY TAYLOR MARTINS DO NASCIMENTO")</f>
        <v>ANTHONY TAYLOR MARTINS DO NASCIMENTO</v>
      </c>
      <c r="D132" s="100" t="str">
        <f>IFERROR(__xludf.DUMMYFUNCTION("""COMPUTED_VALUE"""),"23/02/2023")</f>
        <v>23/02/2023</v>
      </c>
      <c r="E132" s="100" t="str">
        <f>IFERROR(__xludf.DUMMYFUNCTION("""COMPUTED_VALUE"""),"608.940.818-29")</f>
        <v>608.940.818-29</v>
      </c>
      <c r="F132" s="100" t="str">
        <f>IFERROR(__xludf.DUMMYFUNCTION("""COMPUTED_VALUE"""),"INFANTIL 3")</f>
        <v>INFANTIL 3</v>
      </c>
      <c r="G132" s="100" t="str">
        <f>IFERROR(__xludf.DUMMYFUNCTION("""COMPUTED_VALUE"""),"CEMEI PROFESSORA LINDOMAR DOMINGOS DA SILVA ANJOS")</f>
        <v>CEMEI PROFESSORA LINDOMAR DOMINGOS DA SILVA ANJOS</v>
      </c>
      <c r="H132" s="100" t="str">
        <f>IFERROR(__xludf.DUMMYFUNCTION("""COMPUTED_VALUE"""),"REGIONAL 5")</f>
        <v>REGIONAL 5</v>
      </c>
      <c r="I132" s="100"/>
      <c r="J132" s="100"/>
      <c r="K132" s="100"/>
      <c r="L132" s="100"/>
      <c r="M132" s="100"/>
      <c r="N132" s="100"/>
      <c r="O132" s="100"/>
      <c r="P132" s="100"/>
      <c r="Q132" s="100"/>
      <c r="R132" s="100"/>
      <c r="S132" s="100"/>
      <c r="T132" s="100"/>
      <c r="U132" s="100"/>
      <c r="V132" s="100"/>
      <c r="W132" s="100"/>
      <c r="X132" s="100"/>
      <c r="Y132" s="100"/>
      <c r="Z132" s="100"/>
    </row>
    <row r="133" ht="15.75" customHeight="1" spans="1:26">
      <c r="A133" s="100" t="str">
        <f>IFERROR(__xludf.DUMMYFUNCTION("""COMPUTED_VALUE"""),"23/05/2026 20:29:57")</f>
        <v>23/05/2026 20:29:57</v>
      </c>
      <c r="B133" s="101" t="str">
        <f>IFERROR(__xludf.DUMMYFUNCTION("""COMPUTED_VALUE"""),"28")</f>
        <v>28</v>
      </c>
      <c r="C133" s="100" t="str">
        <f>IFERROR(__xludf.DUMMYFUNCTION("""COMPUTED_VALUE"""),"Hiago Mario Alves Tavares Mendes")</f>
        <v>Hiago Mario Alves Tavares Mendes</v>
      </c>
      <c r="D133" s="100" t="str">
        <f>IFERROR(__xludf.DUMMYFUNCTION("""COMPUTED_VALUE"""),"03/11/2022")</f>
        <v>03/11/2022</v>
      </c>
      <c r="E133" s="100" t="str">
        <f>IFERROR(__xludf.DUMMYFUNCTION("""COMPUTED_VALUE"""),"183.316.044-40")</f>
        <v>183.316.044-40</v>
      </c>
      <c r="F133" s="100" t="str">
        <f>IFERROR(__xludf.DUMMYFUNCTION("""COMPUTED_VALUE"""),"INFANTIL 3")</f>
        <v>INFANTIL 3</v>
      </c>
      <c r="G133" s="100" t="str">
        <f>IFERROR(__xludf.DUMMYFUNCTION("""COMPUTED_VALUE"""),"CEMEI PROFESSORA LINDOMAR DOMINGOS DA SILVA ANJOS")</f>
        <v>CEMEI PROFESSORA LINDOMAR DOMINGOS DA SILVA ANJOS</v>
      </c>
      <c r="H133" s="100" t="str">
        <f>IFERROR(__xludf.DUMMYFUNCTION("""COMPUTED_VALUE"""),"REGIONAL 5")</f>
        <v>REGIONAL 5</v>
      </c>
      <c r="I133" s="100"/>
      <c r="J133" s="100"/>
      <c r="K133" s="100"/>
      <c r="L133" s="100"/>
      <c r="M133" s="100"/>
      <c r="N133" s="100"/>
      <c r="O133" s="100"/>
      <c r="P133" s="100"/>
      <c r="Q133" s="100"/>
      <c r="R133" s="100"/>
      <c r="S133" s="100"/>
      <c r="T133" s="100"/>
      <c r="U133" s="100"/>
      <c r="V133" s="100"/>
      <c r="W133" s="100"/>
      <c r="X133" s="100"/>
      <c r="Y133" s="100"/>
      <c r="Z133" s="100"/>
    </row>
    <row r="134" ht="15.75" customHeight="1" spans="1:26">
      <c r="A134" s="100" t="str">
        <f>IFERROR(__xludf.DUMMYFUNCTION("""COMPUTED_VALUE"""),"01/06/2026 08:29:45")</f>
        <v>01/06/2026 08:29:45</v>
      </c>
      <c r="B134" s="101" t="str">
        <f>IFERROR(__xludf.DUMMYFUNCTION("""COMPUTED_VALUE"""),"29")</f>
        <v>29</v>
      </c>
      <c r="C134" s="100" t="str">
        <f>IFERROR(__xludf.DUMMYFUNCTION("""COMPUTED_VALUE"""),"BERNARDO DAVINO DE ARAÚJO")</f>
        <v>BERNARDO DAVINO DE ARAÚJO</v>
      </c>
      <c r="D134" s="100" t="str">
        <f>IFERROR(__xludf.DUMMYFUNCTION("""COMPUTED_VALUE"""),"29/07/2022")</f>
        <v>29/07/2022</v>
      </c>
      <c r="E134" s="100" t="str">
        <f>IFERROR(__xludf.DUMMYFUNCTION("""COMPUTED_VALUE"""),"182.453.294-60")</f>
        <v>182.453.294-60</v>
      </c>
      <c r="F134" s="100" t="str">
        <f>IFERROR(__xludf.DUMMYFUNCTION("""COMPUTED_VALUE"""),"INFANTIL 3")</f>
        <v>INFANTIL 3</v>
      </c>
      <c r="G134" s="100" t="str">
        <f>IFERROR(__xludf.DUMMYFUNCTION("""COMPUTED_VALUE"""),"CEMEI PROFESSORA LINDOMAR DOMINGOS DA SILVA ANJOS")</f>
        <v>CEMEI PROFESSORA LINDOMAR DOMINGOS DA SILVA ANJOS</v>
      </c>
      <c r="H134" s="100" t="str">
        <f>IFERROR(__xludf.DUMMYFUNCTION("""COMPUTED_VALUE"""),"REGIONAL 5")</f>
        <v>REGIONAL 5</v>
      </c>
      <c r="I134" s="100"/>
      <c r="J134" s="100"/>
      <c r="K134" s="100"/>
      <c r="L134" s="100"/>
      <c r="M134" s="100"/>
      <c r="N134" s="100"/>
      <c r="O134" s="100"/>
      <c r="P134" s="100"/>
      <c r="Q134" s="100"/>
      <c r="R134" s="100"/>
      <c r="S134" s="100"/>
      <c r="T134" s="100"/>
      <c r="U134" s="100"/>
      <c r="V134" s="100"/>
      <c r="W134" s="100"/>
      <c r="X134" s="100"/>
      <c r="Y134" s="100"/>
      <c r="Z134" s="100"/>
    </row>
    <row r="135" ht="15.75" customHeight="1" spans="1:26">
      <c r="A135" s="100" t="str">
        <f>IFERROR(__xludf.DUMMYFUNCTION("""COMPUTED_VALUE"""),"24/02/2026 14:04:38")</f>
        <v>24/02/2026 14:04:38</v>
      </c>
      <c r="B135" s="101" t="str">
        <f>IFERROR(__xludf.DUMMYFUNCTION("""COMPUTED_VALUE"""),"1")</f>
        <v>1</v>
      </c>
      <c r="C135" s="100" t="str">
        <f>IFERROR(__xludf.DUMMYFUNCTION("""COMPUTED_VALUE"""),"JOAO MIGUEL FRAZAO DA SILVA")</f>
        <v>JOAO MIGUEL FRAZAO DA SILVA</v>
      </c>
      <c r="D135" s="100" t="str">
        <f>IFERROR(__xludf.DUMMYFUNCTION("""COMPUTED_VALUE"""),"01/11/2022")</f>
        <v>01/11/2022</v>
      </c>
      <c r="E135" s="100" t="str">
        <f>IFERROR(__xludf.DUMMYFUNCTION("""COMPUTED_VALUE"""),"185.844.714-30")</f>
        <v>185.844.714-30</v>
      </c>
      <c r="F135" s="100" t="str">
        <f>IFERROR(__xludf.DUMMYFUNCTION("""COMPUTED_VALUE"""),"INFANTIL 3")</f>
        <v>INFANTIL 3</v>
      </c>
      <c r="G135" s="100" t="str">
        <f>IFERROR(__xludf.DUMMYFUNCTION("""COMPUTED_VALUE"""),"CEMEI PROFESSORA MARLUCIA EVANGELISTA DE SOUZA")</f>
        <v>CEMEI PROFESSORA MARLUCIA EVANGELISTA DE SOUZA</v>
      </c>
      <c r="H135" s="100" t="str">
        <f>IFERROR(__xludf.DUMMYFUNCTION("""COMPUTED_VALUE"""),"REGIONAL 6")</f>
        <v>REGIONAL 6</v>
      </c>
      <c r="I135" s="100"/>
      <c r="J135" s="100"/>
      <c r="K135" s="100"/>
      <c r="L135" s="100"/>
      <c r="M135" s="100"/>
      <c r="N135" s="100"/>
      <c r="O135" s="100"/>
      <c r="P135" s="100"/>
      <c r="Q135" s="100"/>
      <c r="R135" s="100"/>
      <c r="S135" s="100"/>
      <c r="T135" s="100"/>
      <c r="U135" s="100"/>
      <c r="V135" s="100"/>
      <c r="W135" s="100"/>
      <c r="X135" s="100"/>
      <c r="Y135" s="100"/>
      <c r="Z135" s="100"/>
    </row>
    <row r="136" ht="15.75" customHeight="1" spans="1:26">
      <c r="A136" s="100" t="str">
        <f>IFERROR(__xludf.DUMMYFUNCTION("""COMPUTED_VALUE"""),"26/03/2026 11:14:13")</f>
        <v>26/03/2026 11:14:13</v>
      </c>
      <c r="B136" s="101" t="str">
        <f>IFERROR(__xludf.DUMMYFUNCTION("""COMPUTED_VALUE"""),"2")</f>
        <v>2</v>
      </c>
      <c r="C136" s="100" t="str">
        <f>IFERROR(__xludf.DUMMYFUNCTION("""COMPUTED_VALUE"""),"ENZO GABRIEL MENDONÇA DO NASCIMENTO")</f>
        <v>ENZO GABRIEL MENDONÇA DO NASCIMENTO</v>
      </c>
      <c r="D136" s="100" t="str">
        <f>IFERROR(__xludf.DUMMYFUNCTION("""COMPUTED_VALUE"""),"19/11/2022")</f>
        <v>19/11/2022</v>
      </c>
      <c r="E136" s="100" t="str">
        <f>IFERROR(__xludf.DUMMYFUNCTION("""COMPUTED_VALUE"""),"183.493.574-10")</f>
        <v>183.493.574-10</v>
      </c>
      <c r="F136" s="100" t="str">
        <f>IFERROR(__xludf.DUMMYFUNCTION("""COMPUTED_VALUE"""),"INFANTIL 3")</f>
        <v>INFANTIL 3</v>
      </c>
      <c r="G136" s="100" t="str">
        <f>IFERROR(__xludf.DUMMYFUNCTION("""COMPUTED_VALUE"""),"CEMEI PROFESSORA MARLUCIA EVANGELISTA DE SOUZA")</f>
        <v>CEMEI PROFESSORA MARLUCIA EVANGELISTA DE SOUZA</v>
      </c>
      <c r="H136" s="100" t="str">
        <f>IFERROR(__xludf.DUMMYFUNCTION("""COMPUTED_VALUE"""),"REGIONAL 6")</f>
        <v>REGIONAL 6</v>
      </c>
      <c r="I136" s="100"/>
      <c r="J136" s="100"/>
      <c r="K136" s="100"/>
      <c r="L136" s="100"/>
      <c r="M136" s="100"/>
      <c r="N136" s="100"/>
      <c r="O136" s="100"/>
      <c r="P136" s="100"/>
      <c r="Q136" s="100"/>
      <c r="R136" s="100"/>
      <c r="S136" s="100"/>
      <c r="T136" s="100"/>
      <c r="U136" s="100"/>
      <c r="V136" s="100"/>
      <c r="W136" s="100"/>
      <c r="X136" s="100"/>
      <c r="Y136" s="100"/>
      <c r="Z136" s="100"/>
    </row>
    <row r="137" ht="15.75" customHeight="1" spans="1:26">
      <c r="A137" s="100" t="str">
        <f>IFERROR(__xludf.DUMMYFUNCTION("""COMPUTED_VALUE"""),"27/03/2026 08:54:52")</f>
        <v>27/03/2026 08:54:52</v>
      </c>
      <c r="B137" s="101" t="str">
        <f>IFERROR(__xludf.DUMMYFUNCTION("""COMPUTED_VALUE"""),"3")</f>
        <v>3</v>
      </c>
      <c r="C137" s="100" t="str">
        <f>IFERROR(__xludf.DUMMYFUNCTION("""COMPUTED_VALUE"""),"MARIA HELLENA DA SILVA LIMA")</f>
        <v>MARIA HELLENA DA SILVA LIMA</v>
      </c>
      <c r="D137" s="100" t="str">
        <f>IFERROR(__xludf.DUMMYFUNCTION("""COMPUTED_VALUE"""),"11/05/2022")</f>
        <v>11/05/2022</v>
      </c>
      <c r="E137" s="100" t="str">
        <f>IFERROR(__xludf.DUMMYFUNCTION("""COMPUTED_VALUE"""),"183.573.784-63")</f>
        <v>183.573.784-63</v>
      </c>
      <c r="F137" s="100" t="str">
        <f>IFERROR(__xludf.DUMMYFUNCTION("""COMPUTED_VALUE"""),"INFANTIL 3")</f>
        <v>INFANTIL 3</v>
      </c>
      <c r="G137" s="100" t="str">
        <f>IFERROR(__xludf.DUMMYFUNCTION("""COMPUTED_VALUE"""),"CEMEI PROFESSORA MARLUCIA EVANGELISTA DE SOUZA")</f>
        <v>CEMEI PROFESSORA MARLUCIA EVANGELISTA DE SOUZA</v>
      </c>
      <c r="H137" s="100" t="str">
        <f>IFERROR(__xludf.DUMMYFUNCTION("""COMPUTED_VALUE"""),"REGIONAL 6")</f>
        <v>REGIONAL 6</v>
      </c>
      <c r="I137" s="100"/>
      <c r="J137" s="100"/>
      <c r="K137" s="100"/>
      <c r="L137" s="100"/>
      <c r="M137" s="100"/>
      <c r="N137" s="100"/>
      <c r="O137" s="100"/>
      <c r="P137" s="100"/>
      <c r="Q137" s="100"/>
      <c r="R137" s="100"/>
      <c r="S137" s="100"/>
      <c r="T137" s="100"/>
      <c r="U137" s="100"/>
      <c r="V137" s="100"/>
      <c r="W137" s="100"/>
      <c r="X137" s="100"/>
      <c r="Y137" s="100"/>
      <c r="Z137" s="100"/>
    </row>
    <row r="138" ht="15.75" customHeight="1" spans="1:26">
      <c r="A138" s="100" t="str">
        <f>IFERROR(__xludf.DUMMYFUNCTION("""COMPUTED_VALUE"""),"31/03/2026 08:33:16")</f>
        <v>31/03/2026 08:33:16</v>
      </c>
      <c r="B138" s="101" t="str">
        <f>IFERROR(__xludf.DUMMYFUNCTION("""COMPUTED_VALUE"""),"1")</f>
        <v>1</v>
      </c>
      <c r="C138" s="100" t="str">
        <f>IFERROR(__xludf.DUMMYFUNCTION("""COMPUTED_VALUE"""),"APOLLO GABRIEL BRITO DO NASCIMENTO")</f>
        <v>APOLLO GABRIEL BRITO DO NASCIMENTO</v>
      </c>
      <c r="D138" s="100" t="str">
        <f>IFERROR(__xludf.DUMMYFUNCTION("""COMPUTED_VALUE"""),"03/02/2023")</f>
        <v>03/02/2023</v>
      </c>
      <c r="E138" s="100" t="str">
        <f>IFERROR(__xludf.DUMMYFUNCTION("""COMPUTED_VALUE"""),"184.343.404-02")</f>
        <v>184.343.404-02</v>
      </c>
      <c r="F138" s="100" t="str">
        <f>IFERROR(__xludf.DUMMYFUNCTION("""COMPUTED_VALUE"""),"INFANTIL 3")</f>
        <v>INFANTIL 3</v>
      </c>
      <c r="G138" s="100" t="str">
        <f>IFERROR(__xludf.DUMMYFUNCTION("""COMPUTED_VALUE"""),"CEMEI PROFESSORA MARLUCIA EVANGELISTA DE SOUZA")</f>
        <v>CEMEI PROFESSORA MARLUCIA EVANGELISTA DE SOUZA</v>
      </c>
      <c r="H138" s="100" t="str">
        <f>IFERROR(__xludf.DUMMYFUNCTION("""COMPUTED_VALUE"""),"REGIONAL 6")</f>
        <v>REGIONAL 6</v>
      </c>
      <c r="I138" s="100"/>
      <c r="J138" s="100"/>
      <c r="K138" s="100"/>
      <c r="L138" s="100"/>
      <c r="M138" s="100"/>
      <c r="N138" s="100"/>
      <c r="O138" s="100"/>
      <c r="P138" s="100"/>
      <c r="Q138" s="100"/>
      <c r="R138" s="100"/>
      <c r="S138" s="100"/>
      <c r="T138" s="100"/>
      <c r="U138" s="100"/>
      <c r="V138" s="100"/>
      <c r="W138" s="100"/>
      <c r="X138" s="100"/>
      <c r="Y138" s="100"/>
      <c r="Z138" s="100"/>
    </row>
    <row r="139" ht="15.75" customHeight="1" spans="1:26">
      <c r="A139" s="100" t="str">
        <f>IFERROR(__xludf.DUMMYFUNCTION("""COMPUTED_VALUE"""),"17/03/2026 11:53:45")</f>
        <v>17/03/2026 11:53:45</v>
      </c>
      <c r="B139" s="101" t="str">
        <f>IFERROR(__xludf.DUMMYFUNCTION("""COMPUTED_VALUE"""),"1")</f>
        <v>1</v>
      </c>
      <c r="C139" s="100" t="str">
        <f>IFERROR(__xludf.DUMMYFUNCTION("""COMPUTED_VALUE"""),"SARA BATISTA DE SOUZA")</f>
        <v>SARA BATISTA DE SOUZA</v>
      </c>
      <c r="D139" s="100" t="str">
        <f>IFERROR(__xludf.DUMMYFUNCTION("""COMPUTED_VALUE"""),"09/04/2025")</f>
        <v>09/04/2025</v>
      </c>
      <c r="E139" s="100" t="str">
        <f>IFERROR(__xludf.DUMMYFUNCTION("""COMPUTED_VALUE"""),"005.859.174-50")</f>
        <v>005.859.174-50</v>
      </c>
      <c r="F139" s="100" t="str">
        <f>IFERROR(__xludf.DUMMYFUNCTION("""COMPUTED_VALUE"""),"INFANTIL 1")</f>
        <v>INFANTIL 1</v>
      </c>
      <c r="G139" s="100" t="str">
        <f>IFERROR(__xludf.DUMMYFUNCTION("""COMPUTED_VALUE"""),"CEMEI PROFESSORA RAKELLY NOGUEIRA DO NASCIMENTO")</f>
        <v>CEMEI PROFESSORA RAKELLY NOGUEIRA DO NASCIMENTO</v>
      </c>
      <c r="H139" s="100" t="str">
        <f>IFERROR(__xludf.DUMMYFUNCTION("""COMPUTED_VALUE"""),"REGIONAL 6")</f>
        <v>REGIONAL 6</v>
      </c>
      <c r="I139" s="100"/>
      <c r="J139" s="100"/>
      <c r="K139" s="100"/>
      <c r="L139" s="100"/>
      <c r="M139" s="100"/>
      <c r="N139" s="100"/>
      <c r="O139" s="100"/>
      <c r="P139" s="100"/>
      <c r="Q139" s="100"/>
      <c r="R139" s="100"/>
      <c r="S139" s="100"/>
      <c r="T139" s="100"/>
      <c r="U139" s="100"/>
      <c r="V139" s="100"/>
      <c r="W139" s="100"/>
      <c r="X139" s="100"/>
      <c r="Y139" s="100"/>
      <c r="Z139" s="100"/>
    </row>
    <row r="140" ht="15.75" customHeight="1" spans="1:26">
      <c r="A140" s="100" t="str">
        <f>IFERROR(__xludf.DUMMYFUNCTION("""COMPUTED_VALUE"""),"22/05/2026 09:50:12")</f>
        <v>22/05/2026 09:50:12</v>
      </c>
      <c r="B140" s="101" t="str">
        <f>IFERROR(__xludf.DUMMYFUNCTION("""COMPUTED_VALUE"""),"2")</f>
        <v>2</v>
      </c>
      <c r="C140" s="100" t="str">
        <f>IFERROR(__xludf.DUMMYFUNCTION("""COMPUTED_VALUE"""),"Théo Vinícius Galdino dos Santos")</f>
        <v>Théo Vinícius Galdino dos Santos</v>
      </c>
      <c r="D140" s="100" t="str">
        <f>IFERROR(__xludf.DUMMYFUNCTION("""COMPUTED_VALUE"""),"28/06/2025")</f>
        <v>28/06/2025</v>
      </c>
      <c r="E140" s="100" t="str">
        <f>IFERROR(__xludf.DUMMYFUNCTION("""COMPUTED_VALUE"""),"006.594.094-61")</f>
        <v>006.594.094-61</v>
      </c>
      <c r="F140" s="100" t="str">
        <f>IFERROR(__xludf.DUMMYFUNCTION("""COMPUTED_VALUE"""),"INFANTIL 1")</f>
        <v>INFANTIL 1</v>
      </c>
      <c r="G140" s="100" t="str">
        <f>IFERROR(__xludf.DUMMYFUNCTION("""COMPUTED_VALUE"""),"CEMEI PROFESSORA RAKELLY NOGUEIRA DO NASCIMENTO")</f>
        <v>CEMEI PROFESSORA RAKELLY NOGUEIRA DO NASCIMENTO</v>
      </c>
      <c r="H140" s="100" t="str">
        <f>IFERROR(__xludf.DUMMYFUNCTION("""COMPUTED_VALUE"""),"REGIONAL 6")</f>
        <v>REGIONAL 6</v>
      </c>
      <c r="I140" s="100"/>
      <c r="J140" s="100"/>
      <c r="K140" s="100"/>
      <c r="L140" s="100"/>
      <c r="M140" s="100"/>
      <c r="N140" s="100"/>
      <c r="O140" s="100"/>
      <c r="P140" s="100"/>
      <c r="Q140" s="100"/>
      <c r="R140" s="100"/>
      <c r="S140" s="100"/>
      <c r="T140" s="100"/>
      <c r="U140" s="100"/>
      <c r="V140" s="100"/>
      <c r="W140" s="100"/>
      <c r="X140" s="100"/>
      <c r="Y140" s="100"/>
      <c r="Z140" s="100"/>
    </row>
    <row r="141" ht="15.75" customHeight="1" spans="1:26">
      <c r="A141" s="100" t="str">
        <f>IFERROR(__xludf.DUMMYFUNCTION("""COMPUTED_VALUE"""),"24/03/2026 08:53:08")</f>
        <v>24/03/2026 08:53:08</v>
      </c>
      <c r="B141" s="101" t="str">
        <f>IFERROR(__xludf.DUMMYFUNCTION("""COMPUTED_VALUE"""),"1")</f>
        <v>1</v>
      </c>
      <c r="C141" s="100" t="str">
        <f>IFERROR(__xludf.DUMMYFUNCTION("""COMPUTED_VALUE"""),"ANA RUANY SIDRONE VIEIRA DA SILVA")</f>
        <v>ANA RUANY SIDRONE VIEIRA DA SILVA</v>
      </c>
      <c r="D141" s="100" t="str">
        <f>IFERROR(__xludf.DUMMYFUNCTION("""COMPUTED_VALUE"""),"04/09/2023")</f>
        <v>04/09/2023</v>
      </c>
      <c r="E141" s="100" t="str">
        <f>IFERROR(__xludf.DUMMYFUNCTION("""COMPUTED_VALUE"""),"003.696.734-33")</f>
        <v>003.696.734-33</v>
      </c>
      <c r="F141" s="100" t="str">
        <f>IFERROR(__xludf.DUMMYFUNCTION("""COMPUTED_VALUE"""),"INFANTIL 2")</f>
        <v>INFANTIL 2</v>
      </c>
      <c r="G141" s="100" t="str">
        <f>IFERROR(__xludf.DUMMYFUNCTION("""COMPUTED_VALUE"""),"CEMEI PROFESSORA RAKELLY NOGUEIRA DO NASCIMENTO")</f>
        <v>CEMEI PROFESSORA RAKELLY NOGUEIRA DO NASCIMENTO</v>
      </c>
      <c r="H141" s="100" t="str">
        <f>IFERROR(__xludf.DUMMYFUNCTION("""COMPUTED_VALUE"""),"REGIONAL 6")</f>
        <v>REGIONAL 6</v>
      </c>
      <c r="I141" s="100"/>
      <c r="J141" s="100"/>
      <c r="K141" s="100"/>
      <c r="L141" s="100"/>
      <c r="M141" s="100"/>
      <c r="N141" s="100"/>
      <c r="O141" s="100"/>
      <c r="P141" s="100"/>
      <c r="Q141" s="100"/>
      <c r="R141" s="100"/>
      <c r="S141" s="100"/>
      <c r="T141" s="100"/>
      <c r="U141" s="100"/>
      <c r="V141" s="100"/>
      <c r="W141" s="100"/>
      <c r="X141" s="100"/>
      <c r="Y141" s="100"/>
      <c r="Z141" s="100"/>
    </row>
    <row r="142" ht="15.75" customHeight="1" spans="1:26">
      <c r="A142" s="100" t="str">
        <f>IFERROR(__xludf.DUMMYFUNCTION("""COMPUTED_VALUE"""),"13/05/2026 07:38:50")</f>
        <v>13/05/2026 07:38:50</v>
      </c>
      <c r="B142" s="101" t="str">
        <f>IFERROR(__xludf.DUMMYFUNCTION("""COMPUTED_VALUE"""),"2")</f>
        <v>2</v>
      </c>
      <c r="C142" s="100" t="str">
        <f>IFERROR(__xludf.DUMMYFUNCTION("""COMPUTED_VALUE"""),"ANTHONY GABRIEL ROLIM DE OLIVEIRA")</f>
        <v>ANTHONY GABRIEL ROLIM DE OLIVEIRA</v>
      </c>
      <c r="D142" s="100" t="str">
        <f>IFERROR(__xludf.DUMMYFUNCTION("""COMPUTED_VALUE"""),"07/07/2023")</f>
        <v>07/07/2023</v>
      </c>
      <c r="E142" s="100" t="str">
        <f>IFERROR(__xludf.DUMMYFUNCTION("""COMPUTED_VALUE"""),"185.879.424-25")</f>
        <v>185.879.424-25</v>
      </c>
      <c r="F142" s="100" t="str">
        <f>IFERROR(__xludf.DUMMYFUNCTION("""COMPUTED_VALUE"""),"INFANTIL 2")</f>
        <v>INFANTIL 2</v>
      </c>
      <c r="G142" s="100" t="str">
        <f>IFERROR(__xludf.DUMMYFUNCTION("""COMPUTED_VALUE"""),"CEMEI PROFESSORA RAKELLY NOGUEIRA DO NASCIMENTO")</f>
        <v>CEMEI PROFESSORA RAKELLY NOGUEIRA DO NASCIMENTO</v>
      </c>
      <c r="H142" s="100" t="str">
        <f>IFERROR(__xludf.DUMMYFUNCTION("""COMPUTED_VALUE"""),"REGIONAL 6")</f>
        <v>REGIONAL 6</v>
      </c>
      <c r="I142" s="100"/>
      <c r="J142" s="100"/>
      <c r="K142" s="100"/>
      <c r="L142" s="100"/>
      <c r="M142" s="100"/>
      <c r="N142" s="100"/>
      <c r="O142" s="100"/>
      <c r="P142" s="100"/>
      <c r="Q142" s="100"/>
      <c r="R142" s="100"/>
      <c r="S142" s="100"/>
      <c r="T142" s="100"/>
      <c r="U142" s="100"/>
      <c r="V142" s="100"/>
      <c r="W142" s="100"/>
      <c r="X142" s="100"/>
      <c r="Y142" s="100"/>
      <c r="Z142" s="100"/>
    </row>
    <row r="143" ht="15.75" customHeight="1" spans="1:26">
      <c r="A143" s="100" t="str">
        <f>IFERROR(__xludf.DUMMYFUNCTION("""COMPUTED_VALUE"""),"02/02/2026 15:26:58")</f>
        <v>02/02/2026 15:26:58</v>
      </c>
      <c r="B143" s="101" t="str">
        <f>IFERROR(__xludf.DUMMYFUNCTION("""COMPUTED_VALUE"""),"1")</f>
        <v>1</v>
      </c>
      <c r="C143" s="100" t="str">
        <f>IFERROR(__xludf.DUMMYFUNCTION("""COMPUTED_VALUE"""),"DANIEL LIMA DE ARAUJO")</f>
        <v>DANIEL LIMA DE ARAUJO</v>
      </c>
      <c r="D143" s="100" t="str">
        <f>IFERROR(__xludf.DUMMYFUNCTION("""COMPUTED_VALUE"""),"14/05/2022")</f>
        <v>14/05/2022</v>
      </c>
      <c r="E143" s="100" t="str">
        <f>IFERROR(__xludf.DUMMYFUNCTION("""COMPUTED_VALUE"""),"181.750.114-32")</f>
        <v>181.750.114-32</v>
      </c>
      <c r="F143" s="100" t="str">
        <f>IFERROR(__xludf.DUMMYFUNCTION("""COMPUTED_VALUE"""),"INFANTIL 3")</f>
        <v>INFANTIL 3</v>
      </c>
      <c r="G143" s="100" t="str">
        <f>IFERROR(__xludf.DUMMYFUNCTION("""COMPUTED_VALUE"""),"CEMEI SANTO AMARO")</f>
        <v>CEMEI SANTO AMARO</v>
      </c>
      <c r="H143" s="100" t="str">
        <f>IFERROR(__xludf.DUMMYFUNCTION("""COMPUTED_VALUE"""),"REGIONAL 1")</f>
        <v>REGIONAL 1</v>
      </c>
      <c r="I143" s="100"/>
      <c r="J143" s="100"/>
      <c r="K143" s="100"/>
      <c r="L143" s="100"/>
      <c r="M143" s="100"/>
      <c r="N143" s="100"/>
      <c r="O143" s="100"/>
      <c r="P143" s="100"/>
      <c r="Q143" s="100"/>
      <c r="R143" s="100"/>
      <c r="S143" s="100"/>
      <c r="T143" s="100"/>
      <c r="U143" s="100"/>
      <c r="V143" s="100"/>
      <c r="W143" s="100"/>
      <c r="X143" s="100"/>
      <c r="Y143" s="100"/>
      <c r="Z143" s="100"/>
    </row>
    <row r="144" ht="15.75" customHeight="1" spans="1:26">
      <c r="A144" s="100" t="str">
        <f>IFERROR(__xludf.DUMMYFUNCTION("""COMPUTED_VALUE"""),"10/02/2026 08:09:45")</f>
        <v>10/02/2026 08:09:45</v>
      </c>
      <c r="B144" s="101" t="str">
        <f>IFERROR(__xludf.DUMMYFUNCTION("""COMPUTED_VALUE"""),"2")</f>
        <v>2</v>
      </c>
      <c r="C144" s="100" t="str">
        <f>IFERROR(__xludf.DUMMYFUNCTION("""COMPUTED_VALUE"""),"ELIZABETH SAMARA FRANÇA DA SILVA")</f>
        <v>ELIZABETH SAMARA FRANÇA DA SILVA</v>
      </c>
      <c r="D144" s="100" t="str">
        <f>IFERROR(__xludf.DUMMYFUNCTION("""COMPUTED_VALUE"""),"16/05/2022")</f>
        <v>16/05/2022</v>
      </c>
      <c r="E144" s="100" t="str">
        <f>IFERROR(__xludf.DUMMYFUNCTION("""COMPUTED_VALUE"""),"181.606.774-13")</f>
        <v>181.606.774-13</v>
      </c>
      <c r="F144" s="100" t="str">
        <f>IFERROR(__xludf.DUMMYFUNCTION("""COMPUTED_VALUE"""),"INFANTIL 3")</f>
        <v>INFANTIL 3</v>
      </c>
      <c r="G144" s="100" t="str">
        <f>IFERROR(__xludf.DUMMYFUNCTION("""COMPUTED_VALUE"""),"CEMEI SANTO AMARO")</f>
        <v>CEMEI SANTO AMARO</v>
      </c>
      <c r="H144" s="100" t="str">
        <f>IFERROR(__xludf.DUMMYFUNCTION("""COMPUTED_VALUE"""),"REGIONAL 1")</f>
        <v>REGIONAL 1</v>
      </c>
      <c r="I144" s="100"/>
      <c r="J144" s="100"/>
      <c r="K144" s="100"/>
      <c r="L144" s="100"/>
      <c r="M144" s="100"/>
      <c r="N144" s="100"/>
      <c r="O144" s="100"/>
      <c r="P144" s="100"/>
      <c r="Q144" s="100"/>
      <c r="R144" s="100"/>
      <c r="S144" s="100"/>
      <c r="T144" s="100"/>
      <c r="U144" s="100"/>
      <c r="V144" s="100"/>
      <c r="W144" s="100"/>
      <c r="X144" s="100"/>
      <c r="Y144" s="100"/>
      <c r="Z144" s="100"/>
    </row>
    <row r="145" ht="15.75" customHeight="1" spans="1:26">
      <c r="A145" s="100" t="str">
        <f>IFERROR(__xludf.DUMMYFUNCTION("""COMPUTED_VALUE"""),"24/02/2026 18:34:28")</f>
        <v>24/02/2026 18:34:28</v>
      </c>
      <c r="B145" s="101" t="str">
        <f>IFERROR(__xludf.DUMMYFUNCTION("""COMPUTED_VALUE"""),"3")</f>
        <v>3</v>
      </c>
      <c r="C145" s="100" t="str">
        <f>IFERROR(__xludf.DUMMYFUNCTION("""COMPUTED_VALUE"""),"TAIANE FIGUEIRA LIMA DE SOUZA")</f>
        <v>TAIANE FIGUEIRA LIMA DE SOUZA</v>
      </c>
      <c r="D145" s="100" t="str">
        <f>IFERROR(__xludf.DUMMYFUNCTION("""COMPUTED_VALUE"""),"12/04/2022")</f>
        <v>12/04/2022</v>
      </c>
      <c r="E145" s="100" t="str">
        <f>IFERROR(__xludf.DUMMYFUNCTION("""COMPUTED_VALUE"""),"181.335.914-81")</f>
        <v>181.335.914-81</v>
      </c>
      <c r="F145" s="100" t="str">
        <f>IFERROR(__xludf.DUMMYFUNCTION("""COMPUTED_VALUE"""),"INFANTIL 3")</f>
        <v>INFANTIL 3</v>
      </c>
      <c r="G145" s="100" t="str">
        <f>IFERROR(__xludf.DUMMYFUNCTION("""COMPUTED_VALUE"""),"CEMEI SANTO AMARO")</f>
        <v>CEMEI SANTO AMARO</v>
      </c>
      <c r="H145" s="100" t="str">
        <f>IFERROR(__xludf.DUMMYFUNCTION("""COMPUTED_VALUE"""),"REGIONAL 1")</f>
        <v>REGIONAL 1</v>
      </c>
      <c r="I145" s="100"/>
      <c r="J145" s="100"/>
      <c r="K145" s="100"/>
      <c r="L145" s="100"/>
      <c r="M145" s="100"/>
      <c r="N145" s="100"/>
      <c r="O145" s="100"/>
      <c r="P145" s="100"/>
      <c r="Q145" s="100"/>
      <c r="R145" s="100"/>
      <c r="S145" s="100"/>
      <c r="T145" s="100"/>
      <c r="U145" s="100"/>
      <c r="V145" s="100"/>
      <c r="W145" s="100"/>
      <c r="X145" s="100"/>
      <c r="Y145" s="100"/>
      <c r="Z145" s="100"/>
    </row>
    <row r="146" ht="15.75" customHeight="1" spans="1:26">
      <c r="A146" s="100" t="str">
        <f>IFERROR(__xludf.DUMMYFUNCTION("""COMPUTED_VALUE"""),"28/01/2026 10:34:12")</f>
        <v>28/01/2026 10:34:12</v>
      </c>
      <c r="B146" s="101" t="str">
        <f>IFERROR(__xludf.DUMMYFUNCTION("""COMPUTED_VALUE"""),"1")</f>
        <v>1</v>
      </c>
      <c r="C146" s="100" t="str">
        <f>IFERROR(__xludf.DUMMYFUNCTION("""COMPUTED_VALUE"""),"SAMUEL LIMA")</f>
        <v>SAMUEL LIMA</v>
      </c>
      <c r="D146" s="100" t="str">
        <f>IFERROR(__xludf.DUMMYFUNCTION("""COMPUTED_VALUE"""),"30/08/2022")</f>
        <v>30/08/2022</v>
      </c>
      <c r="E146" s="100" t="str">
        <f>IFERROR(__xludf.DUMMYFUNCTION("""COMPUTED_VALUE"""),"183.346.314-56")</f>
        <v>183.346.314-56</v>
      </c>
      <c r="F146" s="100" t="str">
        <f>IFERROR(__xludf.DUMMYFUNCTION("""COMPUTED_VALUE"""),"INFANTIL 3")</f>
        <v>INFANTIL 3</v>
      </c>
      <c r="G146" s="100" t="str">
        <f>IFERROR(__xludf.DUMMYFUNCTION("""COMPUTED_VALUE"""),"CEMEI SANTO AMARO")</f>
        <v>CEMEI SANTO AMARO</v>
      </c>
      <c r="H146" s="100" t="str">
        <f>IFERROR(__xludf.DUMMYFUNCTION("""COMPUTED_VALUE"""),"REGIONAL 1")</f>
        <v>REGIONAL 1</v>
      </c>
      <c r="I146" s="100"/>
      <c r="J146" s="100"/>
      <c r="K146" s="100"/>
      <c r="L146" s="100"/>
      <c r="M146" s="100"/>
      <c r="N146" s="100"/>
      <c r="O146" s="100"/>
      <c r="P146" s="100"/>
      <c r="Q146" s="100"/>
      <c r="R146" s="100"/>
      <c r="S146" s="100"/>
      <c r="T146" s="100"/>
      <c r="U146" s="100"/>
      <c r="V146" s="100"/>
      <c r="W146" s="100"/>
      <c r="X146" s="100"/>
      <c r="Y146" s="100"/>
      <c r="Z146" s="100"/>
    </row>
    <row r="147" ht="15.75" customHeight="1" spans="1:26">
      <c r="A147" s="100" t="str">
        <f>IFERROR(__xludf.DUMMYFUNCTION("""COMPUTED_VALUE"""),"24/02/2026 13:10:10")</f>
        <v>24/02/2026 13:10:10</v>
      </c>
      <c r="B147" s="101" t="str">
        <f>IFERROR(__xludf.DUMMYFUNCTION("""COMPUTED_VALUE"""),"2")</f>
        <v>2</v>
      </c>
      <c r="C147" s="100" t="str">
        <f>IFERROR(__xludf.DUMMYFUNCTION("""COMPUTED_VALUE"""),"GAEL GEOVANNE DE SOUZA RODRIGUES")</f>
        <v>GAEL GEOVANNE DE SOUZA RODRIGUES</v>
      </c>
      <c r="D147" s="100" t="str">
        <f>IFERROR(__xludf.DUMMYFUNCTION("""COMPUTED_VALUE"""),"12/12/2022")</f>
        <v>12/12/2022</v>
      </c>
      <c r="E147" s="100" t="str">
        <f>IFERROR(__xludf.DUMMYFUNCTION("""COMPUTED_VALUE"""),"607.094.828-92")</f>
        <v>607.094.828-92</v>
      </c>
      <c r="F147" s="100" t="str">
        <f>IFERROR(__xludf.DUMMYFUNCTION("""COMPUTED_VALUE"""),"INFANTIL 3")</f>
        <v>INFANTIL 3</v>
      </c>
      <c r="G147" s="100" t="str">
        <f>IFERROR(__xludf.DUMMYFUNCTION("""COMPUTED_VALUE"""),"CEMEI SANTO AMARO")</f>
        <v>CEMEI SANTO AMARO</v>
      </c>
      <c r="H147" s="100" t="str">
        <f>IFERROR(__xludf.DUMMYFUNCTION("""COMPUTED_VALUE"""),"REGIONAL 1")</f>
        <v>REGIONAL 1</v>
      </c>
      <c r="I147" s="100"/>
      <c r="J147" s="100"/>
      <c r="K147" s="100"/>
      <c r="L147" s="100"/>
      <c r="M147" s="100"/>
      <c r="N147" s="100"/>
      <c r="O147" s="100"/>
      <c r="P147" s="100"/>
      <c r="Q147" s="100"/>
      <c r="R147" s="100"/>
      <c r="S147" s="100"/>
      <c r="T147" s="100"/>
      <c r="U147" s="100"/>
      <c r="V147" s="100"/>
      <c r="W147" s="100"/>
      <c r="X147" s="100"/>
      <c r="Y147" s="100"/>
      <c r="Z147" s="100"/>
    </row>
    <row r="148" ht="15.75" customHeight="1" spans="1:26">
      <c r="A148" s="100" t="str">
        <f>IFERROR(__xludf.DUMMYFUNCTION("""COMPUTED_VALUE"""),"13/05/2026 19:48:23")</f>
        <v>13/05/2026 19:48:23</v>
      </c>
      <c r="B148" s="101" t="str">
        <f>IFERROR(__xludf.DUMMYFUNCTION("""COMPUTED_VALUE"""),"3")</f>
        <v>3</v>
      </c>
      <c r="C148" s="100" t="str">
        <f>IFERROR(__xludf.DUMMYFUNCTION("""COMPUTED_VALUE"""),"HELLEN VITÓRIA SILVA RODRIGUES")</f>
        <v>HELLEN VITÓRIA SILVA RODRIGUES</v>
      </c>
      <c r="D148" s="100" t="str">
        <f>IFERROR(__xludf.DUMMYFUNCTION("""COMPUTED_VALUE"""),"09/06/2022")</f>
        <v>09/06/2022</v>
      </c>
      <c r="E148" s="100" t="str">
        <f>IFERROR(__xludf.DUMMYFUNCTION("""COMPUTED_VALUE"""),"181.887.774-04")</f>
        <v>181.887.774-04</v>
      </c>
      <c r="F148" s="100" t="str">
        <f>IFERROR(__xludf.DUMMYFUNCTION("""COMPUTED_VALUE"""),"INFANTIL 3")</f>
        <v>INFANTIL 3</v>
      </c>
      <c r="G148" s="100" t="str">
        <f>IFERROR(__xludf.DUMMYFUNCTION("""COMPUTED_VALUE"""),"CEMEI SANTO AMARO")</f>
        <v>CEMEI SANTO AMARO</v>
      </c>
      <c r="H148" s="100" t="str">
        <f>IFERROR(__xludf.DUMMYFUNCTION("""COMPUTED_VALUE"""),"REGIONAL 1")</f>
        <v>REGIONAL 1</v>
      </c>
      <c r="I148" s="100"/>
      <c r="J148" s="100"/>
      <c r="K148" s="100"/>
      <c r="L148" s="100"/>
      <c r="M148" s="100"/>
      <c r="N148" s="100"/>
      <c r="O148" s="100"/>
      <c r="P148" s="100"/>
      <c r="Q148" s="100"/>
      <c r="R148" s="100"/>
      <c r="S148" s="100"/>
      <c r="T148" s="100"/>
      <c r="U148" s="100"/>
      <c r="V148" s="100"/>
      <c r="W148" s="100"/>
      <c r="X148" s="100"/>
      <c r="Y148" s="100"/>
      <c r="Z148" s="100"/>
    </row>
    <row r="149" ht="15.75" customHeight="1" spans="1:26">
      <c r="A149" s="100" t="str">
        <f>IFERROR(__xludf.DUMMYFUNCTION("""COMPUTED_VALUE"""),"20/05/2026 10:33:36")</f>
        <v>20/05/2026 10:33:36</v>
      </c>
      <c r="B149" s="101" t="str">
        <f>IFERROR(__xludf.DUMMYFUNCTION("""COMPUTED_VALUE"""),"4")</f>
        <v>4</v>
      </c>
      <c r="C149" s="100" t="str">
        <f>IFERROR(__xludf.DUMMYFUNCTION("""COMPUTED_VALUE"""),"BRUNA CECÍLIA DOS IMPOSSÍVEIS GOMES")</f>
        <v>BRUNA CECÍLIA DOS IMPOSSÍVEIS GOMES</v>
      </c>
      <c r="D149" s="100" t="str">
        <f>IFERROR(__xludf.DUMMYFUNCTION("""COMPUTED_VALUE"""),"02/11/2022")</f>
        <v>02/11/2022</v>
      </c>
      <c r="E149" s="100" t="str">
        <f>IFERROR(__xludf.DUMMYFUNCTION("""COMPUTED_VALUE"""),"183.419.034-74")</f>
        <v>183.419.034-74</v>
      </c>
      <c r="F149" s="100" t="str">
        <f>IFERROR(__xludf.DUMMYFUNCTION("""COMPUTED_VALUE"""),"INFANTIL 3")</f>
        <v>INFANTIL 3</v>
      </c>
      <c r="G149" s="100" t="str">
        <f>IFERROR(__xludf.DUMMYFUNCTION("""COMPUTED_VALUE"""),"CEMEI SANTO AMARO")</f>
        <v>CEMEI SANTO AMARO</v>
      </c>
      <c r="H149" s="100" t="str">
        <f>IFERROR(__xludf.DUMMYFUNCTION("""COMPUTED_VALUE"""),"REGIONAL 1")</f>
        <v>REGIONAL 1</v>
      </c>
      <c r="I149" s="100"/>
      <c r="J149" s="100"/>
      <c r="K149" s="100"/>
      <c r="L149" s="100"/>
      <c r="M149" s="100"/>
      <c r="N149" s="100"/>
      <c r="O149" s="100"/>
      <c r="P149" s="100"/>
      <c r="Q149" s="100"/>
      <c r="R149" s="100"/>
      <c r="S149" s="100"/>
      <c r="T149" s="100"/>
      <c r="U149" s="100"/>
      <c r="V149" s="100"/>
      <c r="W149" s="100"/>
      <c r="X149" s="100"/>
      <c r="Y149" s="100"/>
      <c r="Z149" s="100"/>
    </row>
    <row r="150" ht="15.75" customHeight="1" spans="1:26">
      <c r="A150" s="100" t="str">
        <f>IFERROR(__xludf.DUMMYFUNCTION("""COMPUTED_VALUE"""),"25/05/2026 08:40:05")</f>
        <v>25/05/2026 08:40:05</v>
      </c>
      <c r="B150" s="101" t="str">
        <f>IFERROR(__xludf.DUMMYFUNCTION("""COMPUTED_VALUE"""),"5")</f>
        <v>5</v>
      </c>
      <c r="C150" s="100" t="str">
        <f>IFERROR(__xludf.DUMMYFUNCTION("""COMPUTED_VALUE"""),"Eloá Maria de Moraes prazeres")</f>
        <v>Eloá Maria de Moraes prazeres</v>
      </c>
      <c r="D150" s="100" t="str">
        <f>IFERROR(__xludf.DUMMYFUNCTION("""COMPUTED_VALUE"""),"25/02/2023")</f>
        <v>25/02/2023</v>
      </c>
      <c r="E150" s="100" t="str">
        <f>IFERROR(__xludf.DUMMYFUNCTION("""COMPUTED_VALUE"""),"184.570.414-28")</f>
        <v>184.570.414-28</v>
      </c>
      <c r="F150" s="100" t="str">
        <f>IFERROR(__xludf.DUMMYFUNCTION("""COMPUTED_VALUE"""),"INFANTIL 3")</f>
        <v>INFANTIL 3</v>
      </c>
      <c r="G150" s="100" t="str">
        <f>IFERROR(__xludf.DUMMYFUNCTION("""COMPUTED_VALUE"""),"CEMEI SANTO AMARO")</f>
        <v>CEMEI SANTO AMARO</v>
      </c>
      <c r="H150" s="100" t="str">
        <f>IFERROR(__xludf.DUMMYFUNCTION("""COMPUTED_VALUE"""),"REGIONAL 1")</f>
        <v>REGIONAL 1</v>
      </c>
      <c r="I150" s="100"/>
      <c r="J150" s="100"/>
      <c r="K150" s="100"/>
      <c r="L150" s="100"/>
      <c r="M150" s="100"/>
      <c r="N150" s="100"/>
      <c r="O150" s="100"/>
      <c r="P150" s="100"/>
      <c r="Q150" s="100"/>
      <c r="R150" s="100"/>
      <c r="S150" s="100"/>
      <c r="T150" s="100"/>
      <c r="U150" s="100"/>
      <c r="V150" s="100"/>
      <c r="W150" s="100"/>
      <c r="X150" s="100"/>
      <c r="Y150" s="100"/>
      <c r="Z150" s="100"/>
    </row>
    <row r="151" ht="15.75" customHeight="1" spans="1:26">
      <c r="A151" s="100" t="str">
        <f>IFERROR(__xludf.DUMMYFUNCTION("""COMPUTED_VALUE"""),"28/01/2026 21:43:18")</f>
        <v>28/01/2026 21:43:18</v>
      </c>
      <c r="B151" s="101" t="str">
        <f>IFERROR(__xludf.DUMMYFUNCTION("""COMPUTED_VALUE"""),"1")</f>
        <v>1</v>
      </c>
      <c r="C151" s="100" t="str">
        <f>IFERROR(__xludf.DUMMYFUNCTION("""COMPUTED_VALUE"""),"ALLEFF DAVI DE OLIVEIRA ALVES")</f>
        <v>ALLEFF DAVI DE OLIVEIRA ALVES</v>
      </c>
      <c r="D151" s="100" t="str">
        <f>IFERROR(__xludf.DUMMYFUNCTION("""COMPUTED_VALUE"""),"10/10/2024")</f>
        <v>10/10/2024</v>
      </c>
      <c r="E151" s="100" t="str">
        <f>IFERROR(__xludf.DUMMYFUNCTION("""COMPUTED_VALUE"""),"005.136.884-63")</f>
        <v>005.136.884-63</v>
      </c>
      <c r="F151" s="100" t="str">
        <f>IFERROR(__xludf.DUMMYFUNCTION("""COMPUTED_VALUE"""),"INFANTIL 1")</f>
        <v>INFANTIL 1</v>
      </c>
      <c r="G151" s="100" t="str">
        <f>IFERROR(__xludf.DUMMYFUNCTION("""COMPUTED_VALUE"""),"CEMEI SILVIA MARIA DE OLIVEIRA")</f>
        <v>CEMEI SILVIA MARIA DE OLIVEIRA</v>
      </c>
      <c r="H151" s="100" t="str">
        <f>IFERROR(__xludf.DUMMYFUNCTION("""COMPUTED_VALUE"""),"REGIONAL 5")</f>
        <v>REGIONAL 5</v>
      </c>
      <c r="I151" s="100"/>
      <c r="J151" s="100"/>
      <c r="K151" s="100"/>
      <c r="L151" s="100"/>
      <c r="M151" s="100"/>
      <c r="N151" s="100"/>
      <c r="O151" s="100"/>
      <c r="P151" s="100"/>
      <c r="Q151" s="100"/>
      <c r="R151" s="100"/>
      <c r="S151" s="100"/>
      <c r="T151" s="100"/>
      <c r="U151" s="100"/>
      <c r="V151" s="100"/>
      <c r="W151" s="100"/>
      <c r="X151" s="100"/>
      <c r="Y151" s="100"/>
      <c r="Z151" s="100"/>
    </row>
    <row r="152" ht="15.75" customHeight="1" spans="1:26">
      <c r="A152" s="100" t="str">
        <f>IFERROR(__xludf.DUMMYFUNCTION("""COMPUTED_VALUE"""),"08/05/2026 18:02:36")</f>
        <v>08/05/2026 18:02:36</v>
      </c>
      <c r="B152" s="101" t="str">
        <f>IFERROR(__xludf.DUMMYFUNCTION("""COMPUTED_VALUE"""),"1")</f>
        <v>1</v>
      </c>
      <c r="C152" s="100" t="str">
        <f>IFERROR(__xludf.DUMMYFUNCTION("""COMPUTED_VALUE"""),"ARTHUR GABRIEL LIMA DA SILVA")</f>
        <v>ARTHUR GABRIEL LIMA DA SILVA</v>
      </c>
      <c r="D152" s="100" t="str">
        <f>IFERROR(__xludf.DUMMYFUNCTION("""COMPUTED_VALUE"""),"14/03/2024")</f>
        <v>14/03/2024</v>
      </c>
      <c r="E152" s="100" t="str">
        <f>IFERROR(__xludf.DUMMYFUNCTION("""COMPUTED_VALUE"""),"002.280.454-44")</f>
        <v>002.280.454-44</v>
      </c>
      <c r="F152" s="100" t="str">
        <f>IFERROR(__xludf.DUMMYFUNCTION("""COMPUTED_VALUE"""),"INFANTIL 2")</f>
        <v>INFANTIL 2</v>
      </c>
      <c r="G152" s="100" t="str">
        <f>IFERROR(__xludf.DUMMYFUNCTION("""COMPUTED_VALUE"""),"CEMEI SILVIA MARIA DE OLIVEIRA")</f>
        <v>CEMEI SILVIA MARIA DE OLIVEIRA</v>
      </c>
      <c r="H152" s="100" t="str">
        <f>IFERROR(__xludf.DUMMYFUNCTION("""COMPUTED_VALUE"""),"REGIONAL 5")</f>
        <v>REGIONAL 5</v>
      </c>
      <c r="I152" s="100"/>
      <c r="J152" s="100"/>
      <c r="K152" s="100"/>
      <c r="L152" s="100"/>
      <c r="M152" s="100"/>
      <c r="N152" s="100"/>
      <c r="O152" s="100"/>
      <c r="P152" s="100"/>
      <c r="Q152" s="100"/>
      <c r="R152" s="100"/>
      <c r="S152" s="100"/>
      <c r="T152" s="100"/>
      <c r="U152" s="100"/>
      <c r="V152" s="100"/>
      <c r="W152" s="100"/>
      <c r="X152" s="100"/>
      <c r="Y152" s="100"/>
      <c r="Z152" s="100"/>
    </row>
    <row r="153" ht="15.75" customHeight="1" spans="1:26">
      <c r="A153" s="100" t="str">
        <f>IFERROR(__xludf.DUMMYFUNCTION("""COMPUTED_VALUE"""),"02/03/2026 13:05:13")</f>
        <v>02/03/2026 13:05:13</v>
      </c>
      <c r="B153" s="101" t="str">
        <f>IFERROR(__xludf.DUMMYFUNCTION("""COMPUTED_VALUE"""),"1")</f>
        <v>1</v>
      </c>
      <c r="C153" s="100" t="str">
        <f>IFERROR(__xludf.DUMMYFUNCTION("""COMPUTED_VALUE"""),"ARIELLY VICTORIA DA SILVA LEANDRO")</f>
        <v>ARIELLY VICTORIA DA SILVA LEANDRO</v>
      </c>
      <c r="D153" s="100" t="str">
        <f>IFERROR(__xludf.DUMMYFUNCTION("""COMPUTED_VALUE"""),"15/11/2025")</f>
        <v>15/11/2025</v>
      </c>
      <c r="E153" s="100" t="str">
        <f>IFERROR(__xludf.DUMMYFUNCTION("""COMPUTED_VALUE"""),"024.884.774-00")</f>
        <v>024.884.774-00</v>
      </c>
      <c r="F153" s="100" t="str">
        <f>IFERROR(__xludf.DUMMYFUNCTION("""COMPUTED_VALUE"""),"INFANTIL 1")</f>
        <v>INFANTIL 1</v>
      </c>
      <c r="G153" s="100" t="str">
        <f>IFERROR(__xludf.DUMMYFUNCTION("""COMPUTED_VALUE"""),"CENTRO MUNICIPAL DE EDUCAÇÃO INFANTIL MARCOS FREIRE")</f>
        <v>CENTRO MUNICIPAL DE EDUCAÇÃO INFANTIL MARCOS FREIRE</v>
      </c>
      <c r="H153" s="100" t="str">
        <f>IFERROR(__xludf.DUMMYFUNCTION("""COMPUTED_VALUE"""),"REGIONAL 4")</f>
        <v>REGIONAL 4</v>
      </c>
      <c r="I153" s="100"/>
      <c r="J153" s="100"/>
      <c r="K153" s="100"/>
      <c r="L153" s="100"/>
      <c r="M153" s="100"/>
      <c r="N153" s="100"/>
      <c r="O153" s="100"/>
      <c r="P153" s="100"/>
      <c r="Q153" s="100"/>
      <c r="R153" s="100"/>
      <c r="S153" s="100"/>
      <c r="T153" s="100"/>
      <c r="U153" s="100"/>
      <c r="V153" s="100"/>
      <c r="W153" s="100"/>
      <c r="X153" s="100"/>
      <c r="Y153" s="100"/>
      <c r="Z153" s="100"/>
    </row>
    <row r="154" ht="15.75" customHeight="1" spans="1:26">
      <c r="A154" s="100" t="str">
        <f>IFERROR(__xludf.DUMMYFUNCTION("""COMPUTED_VALUE"""),"03/03/2026 09:31:27")</f>
        <v>03/03/2026 09:31:27</v>
      </c>
      <c r="B154" s="101" t="str">
        <f>IFERROR(__xludf.DUMMYFUNCTION("""COMPUTED_VALUE"""),"2")</f>
        <v>2</v>
      </c>
      <c r="C154" s="100" t="str">
        <f>IFERROR(__xludf.DUMMYFUNCTION("""COMPUTED_VALUE"""),"JADE KLARISSE GOMES DO NASCIMENTO")</f>
        <v>JADE KLARISSE GOMES DO NASCIMENTO</v>
      </c>
      <c r="D154" s="100" t="str">
        <f>IFERROR(__xludf.DUMMYFUNCTION("""COMPUTED_VALUE"""),"25/07/2024")</f>
        <v>25/07/2024</v>
      </c>
      <c r="E154" s="100" t="str">
        <f>IFERROR(__xludf.DUMMYFUNCTION("""COMPUTED_VALUE"""),"003.669.294-88")</f>
        <v>003.669.294-88</v>
      </c>
      <c r="F154" s="100" t="str">
        <f>IFERROR(__xludf.DUMMYFUNCTION("""COMPUTED_VALUE"""),"INFANTIL 1")</f>
        <v>INFANTIL 1</v>
      </c>
      <c r="G154" s="100" t="str">
        <f>IFERROR(__xludf.DUMMYFUNCTION("""COMPUTED_VALUE"""),"CENTRO MUNICIPAL DE EDUCAÇÃO INFANTIL MARCOS FREIRE")</f>
        <v>CENTRO MUNICIPAL DE EDUCAÇÃO INFANTIL MARCOS FREIRE</v>
      </c>
      <c r="H154" s="100" t="str">
        <f>IFERROR(__xludf.DUMMYFUNCTION("""COMPUTED_VALUE"""),"REGIONAL 4")</f>
        <v>REGIONAL 4</v>
      </c>
      <c r="I154" s="100"/>
      <c r="J154" s="100"/>
      <c r="K154" s="100"/>
      <c r="L154" s="100"/>
      <c r="M154" s="100"/>
      <c r="N154" s="100"/>
      <c r="O154" s="100"/>
      <c r="P154" s="100"/>
      <c r="Q154" s="100"/>
      <c r="R154" s="100"/>
      <c r="S154" s="100"/>
      <c r="T154" s="100"/>
      <c r="U154" s="100"/>
      <c r="V154" s="100"/>
      <c r="W154" s="100"/>
      <c r="X154" s="100"/>
      <c r="Y154" s="100"/>
      <c r="Z154" s="100"/>
    </row>
    <row r="155" ht="15.75" customHeight="1" spans="1:26">
      <c r="A155" s="100" t="str">
        <f>IFERROR(__xludf.DUMMYFUNCTION("""COMPUTED_VALUE"""),"11/03/2026 16:45:43")</f>
        <v>11/03/2026 16:45:43</v>
      </c>
      <c r="B155" s="101" t="str">
        <f>IFERROR(__xludf.DUMMYFUNCTION("""COMPUTED_VALUE"""),"3")</f>
        <v>3</v>
      </c>
      <c r="C155" s="100" t="str">
        <f>IFERROR(__xludf.DUMMYFUNCTION("""COMPUTED_VALUE"""),"JOSE CALLEB DA SILVA")</f>
        <v>JOSE CALLEB DA SILVA</v>
      </c>
      <c r="D155" s="100" t="str">
        <f>IFERROR(__xludf.DUMMYFUNCTION("""COMPUTED_VALUE"""),"13/08/2025")</f>
        <v>13/08/2025</v>
      </c>
      <c r="E155" s="100" t="str">
        <f>IFERROR(__xludf.DUMMYFUNCTION("""COMPUTED_VALUE"""),"007.131.994-82")</f>
        <v>007.131.994-82</v>
      </c>
      <c r="F155" s="100" t="str">
        <f>IFERROR(__xludf.DUMMYFUNCTION("""COMPUTED_VALUE"""),"INFANTIL 1")</f>
        <v>INFANTIL 1</v>
      </c>
      <c r="G155" s="100" t="str">
        <f>IFERROR(__xludf.DUMMYFUNCTION("""COMPUTED_VALUE"""),"CENTRO MUNICIPAL DE EDUCAÇÃO INFANTIL MARCOS FREIRE")</f>
        <v>CENTRO MUNICIPAL DE EDUCAÇÃO INFANTIL MARCOS FREIRE</v>
      </c>
      <c r="H155" s="100" t="str">
        <f>IFERROR(__xludf.DUMMYFUNCTION("""COMPUTED_VALUE"""),"REGIONAL 4")</f>
        <v>REGIONAL 4</v>
      </c>
      <c r="I155" s="100"/>
      <c r="J155" s="100"/>
      <c r="K155" s="100"/>
      <c r="L155" s="100"/>
      <c r="M155" s="100"/>
      <c r="N155" s="100"/>
      <c r="O155" s="100"/>
      <c r="P155" s="100"/>
      <c r="Q155" s="100"/>
      <c r="R155" s="100"/>
      <c r="S155" s="100"/>
      <c r="T155" s="100"/>
      <c r="U155" s="100"/>
      <c r="V155" s="100"/>
      <c r="W155" s="100"/>
      <c r="X155" s="100"/>
      <c r="Y155" s="100"/>
      <c r="Z155" s="100"/>
    </row>
    <row r="156" ht="15.75" customHeight="1" spans="1:26">
      <c r="A156" s="100" t="str">
        <f>IFERROR(__xludf.DUMMYFUNCTION("""COMPUTED_VALUE"""),"12/03/2026 06:29:35")</f>
        <v>12/03/2026 06:29:35</v>
      </c>
      <c r="B156" s="101" t="str">
        <f>IFERROR(__xludf.DUMMYFUNCTION("""COMPUTED_VALUE"""),"4")</f>
        <v>4</v>
      </c>
      <c r="C156" s="100" t="str">
        <f>IFERROR(__xludf.DUMMYFUNCTION("""COMPUTED_VALUE"""),"MARIA ISADORA ALBUQUERQUE DE SANTANA")</f>
        <v>MARIA ISADORA ALBUQUERQUE DE SANTANA</v>
      </c>
      <c r="D156" s="100" t="str">
        <f>IFERROR(__xludf.DUMMYFUNCTION("""COMPUTED_VALUE"""),"13/02/2025")</f>
        <v>13/02/2025</v>
      </c>
      <c r="E156" s="100" t="str">
        <f>IFERROR(__xludf.DUMMYFUNCTION("""COMPUTED_VALUE"""),"005.362.524-24")</f>
        <v>005.362.524-24</v>
      </c>
      <c r="F156" s="100" t="str">
        <f>IFERROR(__xludf.DUMMYFUNCTION("""COMPUTED_VALUE"""),"INFANTIL 1")</f>
        <v>INFANTIL 1</v>
      </c>
      <c r="G156" s="100" t="str">
        <f>IFERROR(__xludf.DUMMYFUNCTION("""COMPUTED_VALUE"""),"CENTRO MUNICIPAL DE EDUCAÇÃO INFANTIL MARCOS FREIRE")</f>
        <v>CENTRO MUNICIPAL DE EDUCAÇÃO INFANTIL MARCOS FREIRE</v>
      </c>
      <c r="H156" s="100" t="str">
        <f>IFERROR(__xludf.DUMMYFUNCTION("""COMPUTED_VALUE"""),"REGIONAL 4")</f>
        <v>REGIONAL 4</v>
      </c>
      <c r="I156" s="100"/>
      <c r="J156" s="100"/>
      <c r="K156" s="100"/>
      <c r="L156" s="100"/>
      <c r="M156" s="100"/>
      <c r="N156" s="100"/>
      <c r="O156" s="100"/>
      <c r="P156" s="100"/>
      <c r="Q156" s="100"/>
      <c r="R156" s="100"/>
      <c r="S156" s="100"/>
      <c r="T156" s="100"/>
      <c r="U156" s="100"/>
      <c r="V156" s="100"/>
      <c r="W156" s="100"/>
      <c r="X156" s="100"/>
      <c r="Y156" s="100"/>
      <c r="Z156" s="100"/>
    </row>
    <row r="157" ht="15.75" customHeight="1" spans="1:26">
      <c r="A157" s="100" t="str">
        <f>IFERROR(__xludf.DUMMYFUNCTION("""COMPUTED_VALUE"""),"18/03/2026 11:00:34")</f>
        <v>18/03/2026 11:00:34</v>
      </c>
      <c r="B157" s="101" t="str">
        <f>IFERROR(__xludf.DUMMYFUNCTION("""COMPUTED_VALUE"""),"5")</f>
        <v>5</v>
      </c>
      <c r="C157" s="100" t="str">
        <f>IFERROR(__xludf.DUMMYFUNCTION("""COMPUTED_VALUE"""),"BRYAN CALEB DOS SANTOS CORREIA")</f>
        <v>BRYAN CALEB DOS SANTOS CORREIA</v>
      </c>
      <c r="D157" s="100" t="str">
        <f>IFERROR(__xludf.DUMMYFUNCTION("""COMPUTED_VALUE"""),"28/05/2025")</f>
        <v>28/05/2025</v>
      </c>
      <c r="E157" s="100" t="str">
        <f>IFERROR(__xludf.DUMMYFUNCTION("""COMPUTED_VALUE"""),"006.316.154-07")</f>
        <v>006.316.154-07</v>
      </c>
      <c r="F157" s="100" t="str">
        <f>IFERROR(__xludf.DUMMYFUNCTION("""COMPUTED_VALUE"""),"INFANTIL 1")</f>
        <v>INFANTIL 1</v>
      </c>
      <c r="G157" s="100" t="str">
        <f>IFERROR(__xludf.DUMMYFUNCTION("""COMPUTED_VALUE"""),"CENTRO MUNICIPAL DE EDUCAÇÃO INFANTIL MARCOS FREIRE")</f>
        <v>CENTRO MUNICIPAL DE EDUCAÇÃO INFANTIL MARCOS FREIRE</v>
      </c>
      <c r="H157" s="100" t="str">
        <f>IFERROR(__xludf.DUMMYFUNCTION("""COMPUTED_VALUE"""),"REGIONAL 4")</f>
        <v>REGIONAL 4</v>
      </c>
      <c r="I157" s="100"/>
      <c r="J157" s="100"/>
      <c r="K157" s="100"/>
      <c r="L157" s="100"/>
      <c r="M157" s="100"/>
      <c r="N157" s="100"/>
      <c r="O157" s="100"/>
      <c r="P157" s="100"/>
      <c r="Q157" s="100"/>
      <c r="R157" s="100"/>
      <c r="S157" s="100"/>
      <c r="T157" s="100"/>
      <c r="U157" s="100"/>
      <c r="V157" s="100"/>
      <c r="W157" s="100"/>
      <c r="X157" s="100"/>
      <c r="Y157" s="100"/>
      <c r="Z157" s="100"/>
    </row>
    <row r="158" ht="15.75" customHeight="1" spans="1:26">
      <c r="A158" s="100" t="str">
        <f>IFERROR(__xludf.DUMMYFUNCTION("""COMPUTED_VALUE"""),"23/03/2026 12:20:04")</f>
        <v>23/03/2026 12:20:04</v>
      </c>
      <c r="B158" s="101" t="str">
        <f>IFERROR(__xludf.DUMMYFUNCTION("""COMPUTED_VALUE"""),"6")</f>
        <v>6</v>
      </c>
      <c r="C158" s="100" t="str">
        <f>IFERROR(__xludf.DUMMYFUNCTION("""COMPUTED_VALUE"""),"DALILA DOS SANTOS")</f>
        <v>DALILA DOS SANTOS</v>
      </c>
      <c r="D158" s="100" t="str">
        <f>IFERROR(__xludf.DUMMYFUNCTION("""COMPUTED_VALUE"""),"09/04/2024")</f>
        <v>09/04/2024</v>
      </c>
      <c r="E158" s="100" t="str">
        <f>IFERROR(__xludf.DUMMYFUNCTION("""COMPUTED_VALUE"""),"002.673.744-29")</f>
        <v>002.673.744-29</v>
      </c>
      <c r="F158" s="100" t="str">
        <f>IFERROR(__xludf.DUMMYFUNCTION("""COMPUTED_VALUE"""),"INFANTIL 1")</f>
        <v>INFANTIL 1</v>
      </c>
      <c r="G158" s="100" t="str">
        <f>IFERROR(__xludf.DUMMYFUNCTION("""COMPUTED_VALUE"""),"CENTRO MUNICIPAL DE EDUCAÇÃO INFANTIL MARCOS FREIRE")</f>
        <v>CENTRO MUNICIPAL DE EDUCAÇÃO INFANTIL MARCOS FREIRE</v>
      </c>
      <c r="H158" s="100" t="str">
        <f>IFERROR(__xludf.DUMMYFUNCTION("""COMPUTED_VALUE"""),"REGIONAL 4")</f>
        <v>REGIONAL 4</v>
      </c>
      <c r="I158" s="100"/>
      <c r="J158" s="100"/>
      <c r="K158" s="100"/>
      <c r="L158" s="100"/>
      <c r="M158" s="100"/>
      <c r="N158" s="100"/>
      <c r="O158" s="100"/>
      <c r="P158" s="100"/>
      <c r="Q158" s="100"/>
      <c r="R158" s="100"/>
      <c r="S158" s="100"/>
      <c r="T158" s="100"/>
      <c r="U158" s="100"/>
      <c r="V158" s="100"/>
      <c r="W158" s="100"/>
      <c r="X158" s="100"/>
      <c r="Y158" s="100"/>
      <c r="Z158" s="100"/>
    </row>
    <row r="159" ht="15.75" customHeight="1" spans="1:26">
      <c r="A159" s="100" t="str">
        <f>IFERROR(__xludf.DUMMYFUNCTION("""COMPUTED_VALUE"""),"27/03/2026 14:19:05")</f>
        <v>27/03/2026 14:19:05</v>
      </c>
      <c r="B159" s="101" t="str">
        <f>IFERROR(__xludf.DUMMYFUNCTION("""COMPUTED_VALUE"""),"7")</f>
        <v>7</v>
      </c>
      <c r="C159" s="100" t="str">
        <f>IFERROR(__xludf.DUMMYFUNCTION("""COMPUTED_VALUE"""),"RAVILA LOUISE CUSTÓDIO ALVES DA SILVA")</f>
        <v>RAVILA LOUISE CUSTÓDIO ALVES DA SILVA</v>
      </c>
      <c r="D159" s="100" t="str">
        <f>IFERROR(__xludf.DUMMYFUNCTION("""COMPUTED_VALUE"""),"05/12/2024")</f>
        <v>05/12/2024</v>
      </c>
      <c r="E159" s="100" t="str">
        <f>IFERROR(__xludf.DUMMYFUNCTION("""COMPUTED_VALUE"""),"004.783.134-03")</f>
        <v>004.783.134-03</v>
      </c>
      <c r="F159" s="100" t="str">
        <f>IFERROR(__xludf.DUMMYFUNCTION("""COMPUTED_VALUE"""),"INFANTIL 1")</f>
        <v>INFANTIL 1</v>
      </c>
      <c r="G159" s="100" t="str">
        <f>IFERROR(__xludf.DUMMYFUNCTION("""COMPUTED_VALUE"""),"CENTRO MUNICIPAL DE EDUCAÇÃO INFANTIL MARCOS FREIRE")</f>
        <v>CENTRO MUNICIPAL DE EDUCAÇÃO INFANTIL MARCOS FREIRE</v>
      </c>
      <c r="H159" s="100" t="str">
        <f>IFERROR(__xludf.DUMMYFUNCTION("""COMPUTED_VALUE"""),"REGIONAL 4")</f>
        <v>REGIONAL 4</v>
      </c>
      <c r="I159" s="100"/>
      <c r="J159" s="100"/>
      <c r="K159" s="100"/>
      <c r="L159" s="100"/>
      <c r="M159" s="100"/>
      <c r="N159" s="100"/>
      <c r="O159" s="100"/>
      <c r="P159" s="100"/>
      <c r="Q159" s="100"/>
      <c r="R159" s="100"/>
      <c r="S159" s="100"/>
      <c r="T159" s="100"/>
      <c r="U159" s="100"/>
      <c r="V159" s="100"/>
      <c r="W159" s="100"/>
      <c r="X159" s="100"/>
      <c r="Y159" s="100"/>
      <c r="Z159" s="100"/>
    </row>
    <row r="160" ht="15.75" customHeight="1" spans="1:26">
      <c r="A160" s="100" t="str">
        <f>IFERROR(__xludf.DUMMYFUNCTION("""COMPUTED_VALUE"""),"08/04/2026 10:45:14")</f>
        <v>08/04/2026 10:45:14</v>
      </c>
      <c r="B160" s="101" t="str">
        <f>IFERROR(__xludf.DUMMYFUNCTION("""COMPUTED_VALUE"""),"8")</f>
        <v>8</v>
      </c>
      <c r="C160" s="100" t="str">
        <f>IFERROR(__xludf.DUMMYFUNCTION("""COMPUTED_VALUE"""),"THOMÁS SANTIAGO DE LIMA")</f>
        <v>THOMÁS SANTIAGO DE LIMA</v>
      </c>
      <c r="D160" s="100" t="str">
        <f>IFERROR(__xludf.DUMMYFUNCTION("""COMPUTED_VALUE"""),"28/10/2024")</f>
        <v>28/10/2024</v>
      </c>
      <c r="E160" s="100" t="str">
        <f>IFERROR(__xludf.DUMMYFUNCTION("""COMPUTED_VALUE"""),"004.437.094-67")</f>
        <v>004.437.094-67</v>
      </c>
      <c r="F160" s="100" t="str">
        <f>IFERROR(__xludf.DUMMYFUNCTION("""COMPUTED_VALUE"""),"INFANTIL 1")</f>
        <v>INFANTIL 1</v>
      </c>
      <c r="G160" s="100" t="str">
        <f>IFERROR(__xludf.DUMMYFUNCTION("""COMPUTED_VALUE"""),"CENTRO MUNICIPAL DE EDUCAÇÃO INFANTIL MARCOS FREIRE")</f>
        <v>CENTRO MUNICIPAL DE EDUCAÇÃO INFANTIL MARCOS FREIRE</v>
      </c>
      <c r="H160" s="100" t="str">
        <f>IFERROR(__xludf.DUMMYFUNCTION("""COMPUTED_VALUE"""),"REGIONAL 4")</f>
        <v>REGIONAL 4</v>
      </c>
      <c r="I160" s="100"/>
      <c r="J160" s="100"/>
      <c r="K160" s="100"/>
      <c r="L160" s="100"/>
      <c r="M160" s="100"/>
      <c r="N160" s="100"/>
      <c r="O160" s="100"/>
      <c r="P160" s="100"/>
      <c r="Q160" s="100"/>
      <c r="R160" s="100"/>
      <c r="S160" s="100"/>
      <c r="T160" s="100"/>
      <c r="U160" s="100"/>
      <c r="V160" s="100"/>
      <c r="W160" s="100"/>
      <c r="X160" s="100"/>
      <c r="Y160" s="100"/>
      <c r="Z160" s="100"/>
    </row>
    <row r="161" ht="15.75" customHeight="1" spans="1:26">
      <c r="A161" s="100" t="str">
        <f>IFERROR(__xludf.DUMMYFUNCTION("""COMPUTED_VALUE"""),"14/04/2026 09:51:21")</f>
        <v>14/04/2026 09:51:21</v>
      </c>
      <c r="B161" s="101" t="str">
        <f>IFERROR(__xludf.DUMMYFUNCTION("""COMPUTED_VALUE"""),"9")</f>
        <v>9</v>
      </c>
      <c r="C161" s="100" t="str">
        <f>IFERROR(__xludf.DUMMYFUNCTION("""COMPUTED_VALUE"""),"MAYAH GABRYELLY PATRIARCA DE LIMA")</f>
        <v>MAYAH GABRYELLY PATRIARCA DE LIMA</v>
      </c>
      <c r="D161" s="100" t="str">
        <f>IFERROR(__xludf.DUMMYFUNCTION("""COMPUTED_VALUE"""),"25/08/2025")</f>
        <v>25/08/2025</v>
      </c>
      <c r="E161" s="100" t="str">
        <f>IFERROR(__xludf.DUMMYFUNCTION("""COMPUTED_VALUE"""),"014.136.034-83")</f>
        <v>014.136.034-83</v>
      </c>
      <c r="F161" s="100" t="str">
        <f>IFERROR(__xludf.DUMMYFUNCTION("""COMPUTED_VALUE"""),"INFANTIL 1")</f>
        <v>INFANTIL 1</v>
      </c>
      <c r="G161" s="100" t="str">
        <f>IFERROR(__xludf.DUMMYFUNCTION("""COMPUTED_VALUE"""),"CENTRO MUNICIPAL DE EDUCAÇÃO INFANTIL MARCOS FREIRE")</f>
        <v>CENTRO MUNICIPAL DE EDUCAÇÃO INFANTIL MARCOS FREIRE</v>
      </c>
      <c r="H161" s="100" t="str">
        <f>IFERROR(__xludf.DUMMYFUNCTION("""COMPUTED_VALUE"""),"REGIONAL 4")</f>
        <v>REGIONAL 4</v>
      </c>
      <c r="I161" s="100"/>
      <c r="J161" s="100"/>
      <c r="K161" s="100"/>
      <c r="L161" s="100"/>
      <c r="M161" s="100"/>
      <c r="N161" s="100"/>
      <c r="O161" s="100"/>
      <c r="P161" s="100"/>
      <c r="Q161" s="100"/>
      <c r="R161" s="100"/>
      <c r="S161" s="100"/>
      <c r="T161" s="100"/>
      <c r="U161" s="100"/>
      <c r="V161" s="100"/>
      <c r="W161" s="100"/>
      <c r="X161" s="100"/>
      <c r="Y161" s="100"/>
      <c r="Z161" s="100"/>
    </row>
    <row r="162" ht="15.75" customHeight="1" spans="1:26">
      <c r="A162" s="100" t="str">
        <f>IFERROR(__xludf.DUMMYFUNCTION("""COMPUTED_VALUE"""),"15/04/2026 16:58:08")</f>
        <v>15/04/2026 16:58:08</v>
      </c>
      <c r="B162" s="101" t="str">
        <f>IFERROR(__xludf.DUMMYFUNCTION("""COMPUTED_VALUE"""),"10")</f>
        <v>10</v>
      </c>
      <c r="C162" s="100" t="str">
        <f>IFERROR(__xludf.DUMMYFUNCTION("""COMPUTED_VALUE"""),"EVANGELINE MENDES DA SILVA")</f>
        <v>EVANGELINE MENDES DA SILVA</v>
      </c>
      <c r="D162" s="100" t="str">
        <f>IFERROR(__xludf.DUMMYFUNCTION("""COMPUTED_VALUE"""),"12/02/2025")</f>
        <v>12/02/2025</v>
      </c>
      <c r="E162" s="100" t="str">
        <f>IFERROR(__xludf.DUMMYFUNCTION("""COMPUTED_VALUE"""),"050.824.554-00")</f>
        <v>050.824.554-00</v>
      </c>
      <c r="F162" s="100" t="str">
        <f>IFERROR(__xludf.DUMMYFUNCTION("""COMPUTED_VALUE"""),"INFANTIL 1")</f>
        <v>INFANTIL 1</v>
      </c>
      <c r="G162" s="100" t="str">
        <f>IFERROR(__xludf.DUMMYFUNCTION("""COMPUTED_VALUE"""),"CENTRO MUNICIPAL DE EDUCAÇÃO INFANTIL MARCOS FREIRE")</f>
        <v>CENTRO MUNICIPAL DE EDUCAÇÃO INFANTIL MARCOS FREIRE</v>
      </c>
      <c r="H162" s="100" t="str">
        <f>IFERROR(__xludf.DUMMYFUNCTION("""COMPUTED_VALUE"""),"REGIONAL 4")</f>
        <v>REGIONAL 4</v>
      </c>
      <c r="I162" s="100"/>
      <c r="J162" s="100"/>
      <c r="K162" s="100"/>
      <c r="L162" s="100"/>
      <c r="M162" s="100"/>
      <c r="N162" s="100"/>
      <c r="O162" s="100"/>
      <c r="P162" s="100"/>
      <c r="Q162" s="100"/>
      <c r="R162" s="100"/>
      <c r="S162" s="100"/>
      <c r="T162" s="100"/>
      <c r="U162" s="100"/>
      <c r="V162" s="100"/>
      <c r="W162" s="100"/>
      <c r="X162" s="100"/>
      <c r="Y162" s="100"/>
      <c r="Z162" s="100"/>
    </row>
    <row r="163" ht="15.75" customHeight="1" spans="1:26">
      <c r="A163" s="100" t="str">
        <f>IFERROR(__xludf.DUMMYFUNCTION("""COMPUTED_VALUE"""),"11/05/2026 14:39:32")</f>
        <v>11/05/2026 14:39:32</v>
      </c>
      <c r="B163" s="101" t="str">
        <f>IFERROR(__xludf.DUMMYFUNCTION("""COMPUTED_VALUE"""),"11")</f>
        <v>11</v>
      </c>
      <c r="C163" s="100" t="str">
        <f>IFERROR(__xludf.DUMMYFUNCTION("""COMPUTED_VALUE"""),"JADE HELENA PARAISO DE ASSIS")</f>
        <v>JADE HELENA PARAISO DE ASSIS</v>
      </c>
      <c r="D163" s="100" t="str">
        <f>IFERROR(__xludf.DUMMYFUNCTION("""COMPUTED_VALUE"""),"11/07/2024")</f>
        <v>11/07/2024</v>
      </c>
      <c r="E163" s="100" t="str">
        <f>IFERROR(__xludf.DUMMYFUNCTION("""COMPUTED_VALUE"""),"003.489.334-28")</f>
        <v>003.489.334-28</v>
      </c>
      <c r="F163" s="100" t="str">
        <f>IFERROR(__xludf.DUMMYFUNCTION("""COMPUTED_VALUE"""),"INFANTIL 1")</f>
        <v>INFANTIL 1</v>
      </c>
      <c r="G163" s="100" t="str">
        <f>IFERROR(__xludf.DUMMYFUNCTION("""COMPUTED_VALUE"""),"CENTRO MUNICIPAL DE EDUCAÇÃO INFANTIL MARCOS FREIRE")</f>
        <v>CENTRO MUNICIPAL DE EDUCAÇÃO INFANTIL MARCOS FREIRE</v>
      </c>
      <c r="H163" s="100" t="str">
        <f>IFERROR(__xludf.DUMMYFUNCTION("""COMPUTED_VALUE"""),"REGIONAL 4")</f>
        <v>REGIONAL 4</v>
      </c>
      <c r="I163" s="100"/>
      <c r="J163" s="100"/>
      <c r="K163" s="100"/>
      <c r="L163" s="100"/>
      <c r="M163" s="100"/>
      <c r="N163" s="100"/>
      <c r="O163" s="100"/>
      <c r="P163" s="100"/>
      <c r="Q163" s="100"/>
      <c r="R163" s="100"/>
      <c r="S163" s="100"/>
      <c r="T163" s="100"/>
      <c r="U163" s="100"/>
      <c r="V163" s="100"/>
      <c r="W163" s="100"/>
      <c r="X163" s="100"/>
      <c r="Y163" s="100"/>
      <c r="Z163" s="100"/>
    </row>
    <row r="164" ht="15.75" customHeight="1" spans="1:26">
      <c r="A164" s="100" t="str">
        <f>IFERROR(__xludf.DUMMYFUNCTION("""COMPUTED_VALUE"""),"26/05/2026 13:30:04")</f>
        <v>26/05/2026 13:30:04</v>
      </c>
      <c r="B164" s="101" t="str">
        <f>IFERROR(__xludf.DUMMYFUNCTION("""COMPUTED_VALUE"""),"12")</f>
        <v>12</v>
      </c>
      <c r="C164" s="100" t="str">
        <f>IFERROR(__xludf.DUMMYFUNCTION("""COMPUTED_VALUE"""),"MERLYA VITORIA DA SILVA FERNANDES")</f>
        <v>MERLYA VITORIA DA SILVA FERNANDES</v>
      </c>
      <c r="D164" s="100" t="str">
        <f>IFERROR(__xludf.DUMMYFUNCTION("""COMPUTED_VALUE"""),"14/05/2025")</f>
        <v>14/05/2025</v>
      </c>
      <c r="E164" s="100" t="str">
        <f>IFERROR(__xludf.DUMMYFUNCTION("""COMPUTED_VALUE"""),"006.677.104-85")</f>
        <v>006.677.104-85</v>
      </c>
      <c r="F164" s="100" t="str">
        <f>IFERROR(__xludf.DUMMYFUNCTION("""COMPUTED_VALUE"""),"INFANTIL 1")</f>
        <v>INFANTIL 1</v>
      </c>
      <c r="G164" s="100" t="str">
        <f>IFERROR(__xludf.DUMMYFUNCTION("""COMPUTED_VALUE"""),"CENTRO MUNICIPAL DE EDUCAÇÃO INFANTIL MARCOS FREIRE")</f>
        <v>CENTRO MUNICIPAL DE EDUCAÇÃO INFANTIL MARCOS FREIRE</v>
      </c>
      <c r="H164" s="100" t="str">
        <f>IFERROR(__xludf.DUMMYFUNCTION("""COMPUTED_VALUE"""),"REGIONAL 4")</f>
        <v>REGIONAL 4</v>
      </c>
      <c r="I164" s="100"/>
      <c r="J164" s="100"/>
      <c r="K164" s="100"/>
      <c r="L164" s="100"/>
      <c r="M164" s="100"/>
      <c r="N164" s="100"/>
      <c r="O164" s="100"/>
      <c r="P164" s="100"/>
      <c r="Q164" s="100"/>
      <c r="R164" s="100"/>
      <c r="S164" s="100"/>
      <c r="T164" s="100"/>
      <c r="U164" s="100"/>
      <c r="V164" s="100"/>
      <c r="W164" s="100"/>
      <c r="X164" s="100"/>
      <c r="Y164" s="100"/>
      <c r="Z164" s="100"/>
    </row>
    <row r="165" ht="15.75" customHeight="1" spans="1:26">
      <c r="A165" s="100" t="str">
        <f>IFERROR(__xludf.DUMMYFUNCTION("""COMPUTED_VALUE"""),"03/03/2026 12:34:10")</f>
        <v>03/03/2026 12:34:10</v>
      </c>
      <c r="B165" s="101" t="str">
        <f>IFERROR(__xludf.DUMMYFUNCTION("""COMPUTED_VALUE"""),"1")</f>
        <v>1</v>
      </c>
      <c r="C165" s="100" t="str">
        <f>IFERROR(__xludf.DUMMYFUNCTION("""COMPUTED_VALUE"""),"GAEL ALEXANDRE SOARES DE LUNA")</f>
        <v>GAEL ALEXANDRE SOARES DE LUNA</v>
      </c>
      <c r="D165" s="100" t="str">
        <f>IFERROR(__xludf.DUMMYFUNCTION("""COMPUTED_VALUE"""),"16/01/2024")</f>
        <v>16/01/2024</v>
      </c>
      <c r="E165" s="100" t="str">
        <f>IFERROR(__xludf.DUMMYFUNCTION("""COMPUTED_VALUE"""),"001.591.704-51")</f>
        <v>001.591.704-51</v>
      </c>
      <c r="F165" s="100" t="str">
        <f>IFERROR(__xludf.DUMMYFUNCTION("""COMPUTED_VALUE"""),"INFANTIL 2")</f>
        <v>INFANTIL 2</v>
      </c>
      <c r="G165" s="100" t="str">
        <f>IFERROR(__xludf.DUMMYFUNCTION("""COMPUTED_VALUE"""),"CENTRO MUNICIPAL DE EDUCAÇÃO INFANTIL MARCOS FREIRE")</f>
        <v>CENTRO MUNICIPAL DE EDUCAÇÃO INFANTIL MARCOS FREIRE</v>
      </c>
      <c r="H165" s="100" t="str">
        <f>IFERROR(__xludf.DUMMYFUNCTION("""COMPUTED_VALUE"""),"REGIONAL 4")</f>
        <v>REGIONAL 4</v>
      </c>
      <c r="I165" s="100"/>
      <c r="J165" s="100"/>
      <c r="K165" s="100"/>
      <c r="L165" s="100"/>
      <c r="M165" s="100"/>
      <c r="N165" s="100"/>
      <c r="O165" s="100"/>
      <c r="P165" s="100"/>
      <c r="Q165" s="100"/>
      <c r="R165" s="100"/>
      <c r="S165" s="100"/>
      <c r="T165" s="100"/>
      <c r="U165" s="100"/>
      <c r="V165" s="100"/>
      <c r="W165" s="100"/>
      <c r="X165" s="100"/>
      <c r="Y165" s="100"/>
      <c r="Z165" s="100"/>
    </row>
    <row r="166" ht="15.75" customHeight="1" spans="1:26">
      <c r="A166" s="100" t="str">
        <f>IFERROR(__xludf.DUMMYFUNCTION("""COMPUTED_VALUE"""),"04/03/2026 14:46:15")</f>
        <v>04/03/2026 14:46:15</v>
      </c>
      <c r="B166" s="101" t="str">
        <f>IFERROR(__xludf.DUMMYFUNCTION("""COMPUTED_VALUE"""),"2")</f>
        <v>2</v>
      </c>
      <c r="C166" s="100" t="str">
        <f>IFERROR(__xludf.DUMMYFUNCTION("""COMPUTED_VALUE"""),"JOÃO MIGUEL DE LIMA CAVALCANTI")</f>
        <v>JOÃO MIGUEL DE LIMA CAVALCANTI</v>
      </c>
      <c r="D166" s="100" t="str">
        <f>IFERROR(__xludf.DUMMYFUNCTION("""COMPUTED_VALUE"""),"22/07/2023")</f>
        <v>22/07/2023</v>
      </c>
      <c r="E166" s="100" t="str">
        <f>IFERROR(__xludf.DUMMYFUNCTION("""COMPUTED_VALUE"""),"234.344.727-62")</f>
        <v>234.344.727-62</v>
      </c>
      <c r="F166" s="100" t="str">
        <f>IFERROR(__xludf.DUMMYFUNCTION("""COMPUTED_VALUE"""),"INFANTIL 2")</f>
        <v>INFANTIL 2</v>
      </c>
      <c r="G166" s="100" t="str">
        <f>IFERROR(__xludf.DUMMYFUNCTION("""COMPUTED_VALUE"""),"CENTRO MUNICIPAL DE EDUCAÇÃO INFANTIL MARCOS FREIRE")</f>
        <v>CENTRO MUNICIPAL DE EDUCAÇÃO INFANTIL MARCOS FREIRE</v>
      </c>
      <c r="H166" s="100" t="str">
        <f>IFERROR(__xludf.DUMMYFUNCTION("""COMPUTED_VALUE"""),"REGIONAL 4")</f>
        <v>REGIONAL 4</v>
      </c>
      <c r="I166" s="100"/>
      <c r="J166" s="100"/>
      <c r="K166" s="100"/>
      <c r="L166" s="100"/>
      <c r="M166" s="100"/>
      <c r="N166" s="100"/>
      <c r="O166" s="100"/>
      <c r="P166" s="100"/>
      <c r="Q166" s="100"/>
      <c r="R166" s="100"/>
      <c r="S166" s="100"/>
      <c r="T166" s="100"/>
      <c r="U166" s="100"/>
      <c r="V166" s="100"/>
      <c r="W166" s="100"/>
      <c r="X166" s="100"/>
      <c r="Y166" s="100"/>
      <c r="Z166" s="100"/>
    </row>
    <row r="167" ht="15.75" customHeight="1" spans="1:26">
      <c r="A167" s="100" t="str">
        <f>IFERROR(__xludf.DUMMYFUNCTION("""COMPUTED_VALUE"""),"20/03/2026 08:02:42")</f>
        <v>20/03/2026 08:02:42</v>
      </c>
      <c r="B167" s="101" t="str">
        <f>IFERROR(__xludf.DUMMYFUNCTION("""COMPUTED_VALUE"""),"3")</f>
        <v>3</v>
      </c>
      <c r="C167" s="100" t="str">
        <f>IFERROR(__xludf.DUMMYFUNCTION("""COMPUTED_VALUE"""),"DAVI PIETRO DA SILVA BARBOSA")</f>
        <v>DAVI PIETRO DA SILVA BARBOSA</v>
      </c>
      <c r="D167" s="100" t="str">
        <f>IFERROR(__xludf.DUMMYFUNCTION("""COMPUTED_VALUE"""),"17/01/2024")</f>
        <v>17/01/2024</v>
      </c>
      <c r="E167" s="100" t="str">
        <f>IFERROR(__xludf.DUMMYFUNCTION("""COMPUTED_VALUE"""),"001.594.054-32")</f>
        <v>001.594.054-32</v>
      </c>
      <c r="F167" s="100" t="str">
        <f>IFERROR(__xludf.DUMMYFUNCTION("""COMPUTED_VALUE"""),"INFANTIL 2")</f>
        <v>INFANTIL 2</v>
      </c>
      <c r="G167" s="100" t="str">
        <f>IFERROR(__xludf.DUMMYFUNCTION("""COMPUTED_VALUE"""),"CENTRO MUNICIPAL DE EDUCAÇÃO INFANTIL MARCOS FREIRE")</f>
        <v>CENTRO MUNICIPAL DE EDUCAÇÃO INFANTIL MARCOS FREIRE</v>
      </c>
      <c r="H167" s="100" t="str">
        <f>IFERROR(__xludf.DUMMYFUNCTION("""COMPUTED_VALUE"""),"REGIONAL 4")</f>
        <v>REGIONAL 4</v>
      </c>
      <c r="I167" s="100"/>
      <c r="J167" s="100"/>
      <c r="K167" s="100"/>
      <c r="L167" s="100"/>
      <c r="M167" s="100"/>
      <c r="N167" s="100"/>
      <c r="O167" s="100"/>
      <c r="P167" s="100"/>
      <c r="Q167" s="100"/>
      <c r="R167" s="100"/>
      <c r="S167" s="100"/>
      <c r="T167" s="100"/>
      <c r="U167" s="100"/>
      <c r="V167" s="100"/>
      <c r="W167" s="100"/>
      <c r="X167" s="100"/>
      <c r="Y167" s="100"/>
      <c r="Z167" s="100"/>
    </row>
    <row r="168" ht="15.75" customHeight="1" spans="1:26">
      <c r="A168" s="100" t="str">
        <f>IFERROR(__xludf.DUMMYFUNCTION("""COMPUTED_VALUE"""),"20/03/2026 23:02:44")</f>
        <v>20/03/2026 23:02:44</v>
      </c>
      <c r="B168" s="101" t="str">
        <f>IFERROR(__xludf.DUMMYFUNCTION("""COMPUTED_VALUE"""),"4")</f>
        <v>4</v>
      </c>
      <c r="C168" s="100" t="str">
        <f>IFERROR(__xludf.DUMMYFUNCTION("""COMPUTED_VALUE"""),"LEVI BRYAN DE OLIVEIRA REIS")</f>
        <v>LEVI BRYAN DE OLIVEIRA REIS</v>
      </c>
      <c r="D168" s="100" t="str">
        <f>IFERROR(__xludf.DUMMYFUNCTION("""COMPUTED_VALUE"""),"22/02/2024")</f>
        <v>22/02/2024</v>
      </c>
      <c r="E168" s="100" t="str">
        <f>IFERROR(__xludf.DUMMYFUNCTION("""COMPUTED_VALUE"""),"002.077.824-40")</f>
        <v>002.077.824-40</v>
      </c>
      <c r="F168" s="100" t="str">
        <f>IFERROR(__xludf.DUMMYFUNCTION("""COMPUTED_VALUE"""),"INFANTIL 2")</f>
        <v>INFANTIL 2</v>
      </c>
      <c r="G168" s="100" t="str">
        <f>IFERROR(__xludf.DUMMYFUNCTION("""COMPUTED_VALUE"""),"CENTRO MUNICIPAL DE EDUCAÇÃO INFANTIL MARCOS FREIRE")</f>
        <v>CENTRO MUNICIPAL DE EDUCAÇÃO INFANTIL MARCOS FREIRE</v>
      </c>
      <c r="H168" s="100" t="str">
        <f>IFERROR(__xludf.DUMMYFUNCTION("""COMPUTED_VALUE"""),"REGIONAL 4")</f>
        <v>REGIONAL 4</v>
      </c>
      <c r="I168" s="100"/>
      <c r="J168" s="100"/>
      <c r="K168" s="100"/>
      <c r="L168" s="100"/>
      <c r="M168" s="100"/>
      <c r="N168" s="100"/>
      <c r="O168" s="100"/>
      <c r="P168" s="100"/>
      <c r="Q168" s="100"/>
      <c r="R168" s="100"/>
      <c r="S168" s="100"/>
      <c r="T168" s="100"/>
      <c r="U168" s="100"/>
      <c r="V168" s="100"/>
      <c r="W168" s="100"/>
      <c r="X168" s="100"/>
      <c r="Y168" s="100"/>
      <c r="Z168" s="100"/>
    </row>
    <row r="169" ht="15.75" customHeight="1" spans="1:26">
      <c r="A169" s="100" t="str">
        <f>IFERROR(__xludf.DUMMYFUNCTION("""COMPUTED_VALUE"""),"08/04/2026 13:49:21")</f>
        <v>08/04/2026 13:49:21</v>
      </c>
      <c r="B169" s="101" t="str">
        <f>IFERROR(__xludf.DUMMYFUNCTION("""COMPUTED_VALUE"""),"5")</f>
        <v>5</v>
      </c>
      <c r="C169" s="100" t="str">
        <f>IFERROR(__xludf.DUMMYFUNCTION("""COMPUTED_VALUE"""),"JORGE MIGUEL DA SILVA NASCIMENTO")</f>
        <v>JORGE MIGUEL DA SILVA NASCIMENTO</v>
      </c>
      <c r="D169" s="100" t="str">
        <f>IFERROR(__xludf.DUMMYFUNCTION("""COMPUTED_VALUE"""),"23/07/2023")</f>
        <v>23/07/2023</v>
      </c>
      <c r="E169" s="100" t="str">
        <f>IFERROR(__xludf.DUMMYFUNCTION("""COMPUTED_VALUE"""),"186.203.064-21")</f>
        <v>186.203.064-21</v>
      </c>
      <c r="F169" s="100" t="str">
        <f>IFERROR(__xludf.DUMMYFUNCTION("""COMPUTED_VALUE"""),"INFANTIL 2")</f>
        <v>INFANTIL 2</v>
      </c>
      <c r="G169" s="100" t="str">
        <f>IFERROR(__xludf.DUMMYFUNCTION("""COMPUTED_VALUE"""),"CENTRO MUNICIPAL DE EDUCAÇÃO INFANTIL MARCOS FREIRE")</f>
        <v>CENTRO MUNICIPAL DE EDUCAÇÃO INFANTIL MARCOS FREIRE</v>
      </c>
      <c r="H169" s="100" t="str">
        <f>IFERROR(__xludf.DUMMYFUNCTION("""COMPUTED_VALUE"""),"REGIONAL 4")</f>
        <v>REGIONAL 4</v>
      </c>
      <c r="I169" s="100"/>
      <c r="J169" s="100"/>
      <c r="K169" s="100"/>
      <c r="L169" s="100"/>
      <c r="M169" s="100"/>
      <c r="N169" s="100"/>
      <c r="O169" s="100"/>
      <c r="P169" s="100"/>
      <c r="Q169" s="100"/>
      <c r="R169" s="100"/>
      <c r="S169" s="100"/>
      <c r="T169" s="100"/>
      <c r="U169" s="100"/>
      <c r="V169" s="100"/>
      <c r="W169" s="100"/>
      <c r="X169" s="100"/>
      <c r="Y169" s="100"/>
      <c r="Z169" s="100"/>
    </row>
    <row r="170" ht="15.75" customHeight="1" spans="1:26">
      <c r="A170" s="100" t="str">
        <f>IFERROR(__xludf.DUMMYFUNCTION("""COMPUTED_VALUE"""),"17/03/2026 12:24:13")</f>
        <v>17/03/2026 12:24:13</v>
      </c>
      <c r="B170" s="101" t="str">
        <f>IFERROR(__xludf.DUMMYFUNCTION("""COMPUTED_VALUE"""),"1")</f>
        <v>1</v>
      </c>
      <c r="C170" s="100" t="str">
        <f>IFERROR(__xludf.DUMMYFUNCTION("""COMPUTED_VALUE"""),"HELOISA VITÓRIA DA SILVA NASCIMENTO")</f>
        <v>HELOISA VITÓRIA DA SILVA NASCIMENTO</v>
      </c>
      <c r="D170" s="100" t="str">
        <f>IFERROR(__xludf.DUMMYFUNCTION("""COMPUTED_VALUE"""),"30/03/2023")</f>
        <v>30/03/2023</v>
      </c>
      <c r="E170" s="100" t="str">
        <f>IFERROR(__xludf.DUMMYFUNCTION("""COMPUTED_VALUE"""),"185.357.664-64")</f>
        <v>185.357.664-64</v>
      </c>
      <c r="F170" s="100" t="str">
        <f>IFERROR(__xludf.DUMMYFUNCTION("""COMPUTED_VALUE"""),"INFANTIL 3")</f>
        <v>INFANTIL 3</v>
      </c>
      <c r="G170" s="100" t="str">
        <f>IFERROR(__xludf.DUMMYFUNCTION("""COMPUTED_VALUE"""),"CENTRO MUNICIPAL DE EDUCAÇÃO INFANTIL MARCOS FREIRE")</f>
        <v>CENTRO MUNICIPAL DE EDUCAÇÃO INFANTIL MARCOS FREIRE</v>
      </c>
      <c r="H170" s="100" t="str">
        <f>IFERROR(__xludf.DUMMYFUNCTION("""COMPUTED_VALUE"""),"REGIONAL 4")</f>
        <v>REGIONAL 4</v>
      </c>
      <c r="I170" s="100"/>
      <c r="J170" s="100"/>
      <c r="K170" s="100"/>
      <c r="L170" s="100"/>
      <c r="M170" s="100"/>
      <c r="N170" s="100"/>
      <c r="O170" s="100"/>
      <c r="P170" s="100"/>
      <c r="Q170" s="100"/>
      <c r="R170" s="100"/>
      <c r="S170" s="100"/>
      <c r="T170" s="100"/>
      <c r="U170" s="100"/>
      <c r="V170" s="100"/>
      <c r="W170" s="100"/>
      <c r="X170" s="100"/>
      <c r="Y170" s="100"/>
      <c r="Z170" s="100"/>
    </row>
    <row r="171" ht="15.75" customHeight="1" spans="1:26">
      <c r="A171" s="100" t="str">
        <f>IFERROR(__xludf.DUMMYFUNCTION("""COMPUTED_VALUE"""),"19/03/2026 09:22:32")</f>
        <v>19/03/2026 09:22:32</v>
      </c>
      <c r="B171" s="101" t="str">
        <f>IFERROR(__xludf.DUMMYFUNCTION("""COMPUTED_VALUE"""),"2")</f>
        <v>2</v>
      </c>
      <c r="C171" s="100" t="str">
        <f>IFERROR(__xludf.DUMMYFUNCTION("""COMPUTED_VALUE"""),"THÉO LACERDA ALVES")</f>
        <v>THÉO LACERDA ALVES</v>
      </c>
      <c r="D171" s="100" t="str">
        <f>IFERROR(__xludf.DUMMYFUNCTION("""COMPUTED_VALUE"""),"28/09/2022")</f>
        <v>28/09/2022</v>
      </c>
      <c r="E171" s="100" t="str">
        <f>IFERROR(__xludf.DUMMYFUNCTION("""COMPUTED_VALUE"""),"605.546.128-52")</f>
        <v>605.546.128-52</v>
      </c>
      <c r="F171" s="100" t="str">
        <f>IFERROR(__xludf.DUMMYFUNCTION("""COMPUTED_VALUE"""),"INFANTIL 3")</f>
        <v>INFANTIL 3</v>
      </c>
      <c r="G171" s="100" t="str">
        <f>IFERROR(__xludf.DUMMYFUNCTION("""COMPUTED_VALUE"""),"CENTRO MUNICIPAL DE EDUCAÇÃO INFANTIL MARCOS FREIRE")</f>
        <v>CENTRO MUNICIPAL DE EDUCAÇÃO INFANTIL MARCOS FREIRE</v>
      </c>
      <c r="H171" s="100" t="str">
        <f>IFERROR(__xludf.DUMMYFUNCTION("""COMPUTED_VALUE"""),"REGIONAL 4")</f>
        <v>REGIONAL 4</v>
      </c>
      <c r="I171" s="100"/>
      <c r="J171" s="100"/>
      <c r="K171" s="100"/>
      <c r="L171" s="100"/>
      <c r="M171" s="100"/>
      <c r="N171" s="100"/>
      <c r="O171" s="100"/>
      <c r="P171" s="100"/>
      <c r="Q171" s="100"/>
      <c r="R171" s="100"/>
      <c r="S171" s="100"/>
      <c r="T171" s="100"/>
      <c r="U171" s="100"/>
      <c r="V171" s="100"/>
      <c r="W171" s="100"/>
      <c r="X171" s="100"/>
      <c r="Y171" s="100"/>
      <c r="Z171" s="100"/>
    </row>
    <row r="172" ht="15.75" customHeight="1" spans="1:26">
      <c r="A172" s="100" t="str">
        <f>IFERROR(__xludf.DUMMYFUNCTION("""COMPUTED_VALUE"""),"06/04/2026 11:03:43")</f>
        <v>06/04/2026 11:03:43</v>
      </c>
      <c r="B172" s="101" t="str">
        <f>IFERROR(__xludf.DUMMYFUNCTION("""COMPUTED_VALUE"""),"3")</f>
        <v>3</v>
      </c>
      <c r="C172" s="100" t="str">
        <f>IFERROR(__xludf.DUMMYFUNCTION("""COMPUTED_VALUE"""),"SOPHIA CATARINA BARBOSA DOS SANTOS")</f>
        <v>SOPHIA CATARINA BARBOSA DOS SANTOS</v>
      </c>
      <c r="D172" s="100" t="str">
        <f>IFERROR(__xludf.DUMMYFUNCTION("""COMPUTED_VALUE"""),"13/06/2022")</f>
        <v>13/06/2022</v>
      </c>
      <c r="E172" s="100" t="str">
        <f>IFERROR(__xludf.DUMMYFUNCTION("""COMPUTED_VALUE"""),"181.986.654-80")</f>
        <v>181.986.654-80</v>
      </c>
      <c r="F172" s="100" t="str">
        <f>IFERROR(__xludf.DUMMYFUNCTION("""COMPUTED_VALUE"""),"INFANTIL 3")</f>
        <v>INFANTIL 3</v>
      </c>
      <c r="G172" s="100" t="str">
        <f>IFERROR(__xludf.DUMMYFUNCTION("""COMPUTED_VALUE"""),"CENTRO MUNICIPAL DE EDUCAÇÃO INFANTIL MARCOS FREIRE")</f>
        <v>CENTRO MUNICIPAL DE EDUCAÇÃO INFANTIL MARCOS FREIRE</v>
      </c>
      <c r="H172" s="100" t="str">
        <f>IFERROR(__xludf.DUMMYFUNCTION("""COMPUTED_VALUE"""),"REGIONAL 4")</f>
        <v>REGIONAL 4</v>
      </c>
      <c r="I172" s="100"/>
      <c r="J172" s="100"/>
      <c r="K172" s="100"/>
      <c r="L172" s="100"/>
      <c r="M172" s="100"/>
      <c r="N172" s="100"/>
      <c r="O172" s="100"/>
      <c r="P172" s="100"/>
      <c r="Q172" s="100"/>
      <c r="R172" s="100"/>
      <c r="S172" s="100"/>
      <c r="T172" s="100"/>
      <c r="U172" s="100"/>
      <c r="V172" s="100"/>
      <c r="W172" s="100"/>
      <c r="X172" s="100"/>
      <c r="Y172" s="100"/>
      <c r="Z172" s="100"/>
    </row>
    <row r="173" ht="15.75" customHeight="1" spans="1:26">
      <c r="A173" s="100" t="str">
        <f>IFERROR(__xludf.DUMMYFUNCTION("""COMPUTED_VALUE"""),"25/02/2026 12:49:56")</f>
        <v>25/02/2026 12:49:56</v>
      </c>
      <c r="B173" s="101" t="str">
        <f>IFERROR(__xludf.DUMMYFUNCTION("""COMPUTED_VALUE"""),"1")</f>
        <v>1</v>
      </c>
      <c r="C173" s="100" t="str">
        <f>IFERROR(__xludf.DUMMYFUNCTION("""COMPUTED_VALUE"""),"CR")</f>
        <v>CR</v>
      </c>
      <c r="D173" s="100" t="str">
        <f>IFERROR(__xludf.DUMMYFUNCTION("""COMPUTED_VALUE"""),"03/07/2025")</f>
        <v>03/07/2025</v>
      </c>
      <c r="E173" s="100" t="str">
        <f>IFERROR(__xludf.DUMMYFUNCTION("""COMPUTED_VALUE"""),"006.659.714-51")</f>
        <v>006.659.714-51</v>
      </c>
      <c r="F173" s="100" t="str">
        <f>IFERROR(__xludf.DUMMYFUNCTION("""COMPUTED_VALUE"""),"INFANTIL 1")</f>
        <v>INFANTIL 1</v>
      </c>
      <c r="G173" s="100" t="str">
        <f>IFERROR(__xludf.DUMMYFUNCTION("""COMPUTED_VALUE"""),"CRECHE ALAYDE MARIA DA CONCEICAO")</f>
        <v>CRECHE ALAYDE MARIA DA CONCEICAO</v>
      </c>
      <c r="H173" s="100" t="str">
        <f>IFERROR(__xludf.DUMMYFUNCTION("""COMPUTED_VALUE"""),"REGIONAL 2")</f>
        <v>REGIONAL 2</v>
      </c>
      <c r="I173" s="100"/>
      <c r="J173" s="100"/>
      <c r="K173" s="100"/>
      <c r="L173" s="100"/>
      <c r="M173" s="100"/>
      <c r="N173" s="100"/>
      <c r="O173" s="100"/>
      <c r="P173" s="100"/>
      <c r="Q173" s="100"/>
      <c r="R173" s="100"/>
      <c r="S173" s="100"/>
      <c r="T173" s="100"/>
      <c r="U173" s="100"/>
      <c r="V173" s="100"/>
      <c r="W173" s="100"/>
      <c r="X173" s="100"/>
      <c r="Y173" s="100"/>
      <c r="Z173" s="100"/>
    </row>
    <row r="174" ht="15.75" customHeight="1" spans="1:26">
      <c r="A174" s="100" t="str">
        <f>IFERROR(__xludf.DUMMYFUNCTION("""COMPUTED_VALUE"""),"25/03/2026 16:34:54")</f>
        <v>25/03/2026 16:34:54</v>
      </c>
      <c r="B174" s="101" t="str">
        <f>IFERROR(__xludf.DUMMYFUNCTION("""COMPUTED_VALUE"""),"2")</f>
        <v>2</v>
      </c>
      <c r="C174" s="100" t="str">
        <f>IFERROR(__xludf.DUMMYFUNCTION("""COMPUTED_VALUE"""),"DAVY ALVES DA SILVA")</f>
        <v>DAVY ALVES DA SILVA</v>
      </c>
      <c r="D174" s="100" t="str">
        <f>IFERROR(__xludf.DUMMYFUNCTION("""COMPUTED_VALUE"""),"27/05/2025")</f>
        <v>27/05/2025</v>
      </c>
      <c r="E174" s="100" t="str">
        <f>IFERROR(__xludf.DUMMYFUNCTION("""COMPUTED_VALUE"""),"003.543.594-10")</f>
        <v>003.543.594-10</v>
      </c>
      <c r="F174" s="100" t="str">
        <f>IFERROR(__xludf.DUMMYFUNCTION("""COMPUTED_VALUE"""),"INFANTIL 1")</f>
        <v>INFANTIL 1</v>
      </c>
      <c r="G174" s="100" t="str">
        <f>IFERROR(__xludf.DUMMYFUNCTION("""COMPUTED_VALUE"""),"CRECHE ALAYDE MARIA DA CONCEICAO")</f>
        <v>CRECHE ALAYDE MARIA DA CONCEICAO</v>
      </c>
      <c r="H174" s="100" t="str">
        <f>IFERROR(__xludf.DUMMYFUNCTION("""COMPUTED_VALUE"""),"REGIONAL 2")</f>
        <v>REGIONAL 2</v>
      </c>
      <c r="I174" s="100"/>
      <c r="J174" s="100"/>
      <c r="K174" s="100"/>
      <c r="L174" s="100"/>
      <c r="M174" s="100"/>
      <c r="N174" s="100"/>
      <c r="O174" s="100"/>
      <c r="P174" s="100"/>
      <c r="Q174" s="100"/>
      <c r="R174" s="100"/>
      <c r="S174" s="100"/>
      <c r="T174" s="100"/>
      <c r="U174" s="100"/>
      <c r="V174" s="100"/>
      <c r="W174" s="100"/>
      <c r="X174" s="100"/>
      <c r="Y174" s="100"/>
      <c r="Z174" s="100"/>
    </row>
    <row r="175" ht="15.75" customHeight="1" spans="1:26">
      <c r="A175" s="100" t="str">
        <f>IFERROR(__xludf.DUMMYFUNCTION("""COMPUTED_VALUE"""),"19/03/2026 10:36:55")</f>
        <v>19/03/2026 10:36:55</v>
      </c>
      <c r="B175" s="101" t="str">
        <f>IFERROR(__xludf.DUMMYFUNCTION("""COMPUTED_VALUE"""),"1")</f>
        <v>1</v>
      </c>
      <c r="C175" s="100" t="str">
        <f>IFERROR(__xludf.DUMMYFUNCTION("""COMPUTED_VALUE"""),"ELLIZA EMANUELLEY MONTE DE LIMA")</f>
        <v>ELLIZA EMANUELLEY MONTE DE LIMA</v>
      </c>
      <c r="D175" s="100" t="str">
        <f>IFERROR(__xludf.DUMMYFUNCTION("""COMPUTED_VALUE"""),"21/04/2023")</f>
        <v>21/04/2023</v>
      </c>
      <c r="E175" s="100" t="str">
        <f>IFERROR(__xludf.DUMMYFUNCTION("""COMPUTED_VALUE"""),"185.171.144-93")</f>
        <v>185.171.144-93</v>
      </c>
      <c r="F175" s="100" t="str">
        <f>IFERROR(__xludf.DUMMYFUNCTION("""COMPUTED_VALUE"""),"INFANTIL 2")</f>
        <v>INFANTIL 2</v>
      </c>
      <c r="G175" s="100" t="str">
        <f>IFERROR(__xludf.DUMMYFUNCTION("""COMPUTED_VALUE"""),"CRECHE ALAYDE MARIA DA CONCEICAO")</f>
        <v>CRECHE ALAYDE MARIA DA CONCEICAO</v>
      </c>
      <c r="H175" s="100" t="str">
        <f>IFERROR(__xludf.DUMMYFUNCTION("""COMPUTED_VALUE"""),"REGIONAL 2")</f>
        <v>REGIONAL 2</v>
      </c>
      <c r="I175" s="100"/>
      <c r="J175" s="100"/>
      <c r="K175" s="100"/>
      <c r="L175" s="100"/>
      <c r="M175" s="100"/>
      <c r="N175" s="100"/>
      <c r="O175" s="100"/>
      <c r="P175" s="100"/>
      <c r="Q175" s="100"/>
      <c r="R175" s="100"/>
      <c r="S175" s="100"/>
      <c r="T175" s="100"/>
      <c r="U175" s="100"/>
      <c r="V175" s="100"/>
      <c r="W175" s="100"/>
      <c r="X175" s="100"/>
      <c r="Y175" s="100"/>
      <c r="Z175" s="100"/>
    </row>
    <row r="176" ht="15.75" customHeight="1" spans="1:26">
      <c r="A176" s="100" t="str">
        <f>IFERROR(__xludf.DUMMYFUNCTION("""COMPUTED_VALUE"""),"31/03/2026 12:14:35")</f>
        <v>31/03/2026 12:14:35</v>
      </c>
      <c r="B176" s="101" t="str">
        <f>IFERROR(__xludf.DUMMYFUNCTION("""COMPUTED_VALUE"""),"2")</f>
        <v>2</v>
      </c>
      <c r="C176" s="100" t="str">
        <f>IFERROR(__xludf.DUMMYFUNCTION("""COMPUTED_VALUE"""),"HELLOÁ DANIELLY AMORIM FELIX")</f>
        <v>HELLOÁ DANIELLY AMORIM FELIX</v>
      </c>
      <c r="D176" s="100" t="str">
        <f>IFERROR(__xludf.DUMMYFUNCTION("""COMPUTED_VALUE"""),"04/03/2024")</f>
        <v>04/03/2024</v>
      </c>
      <c r="E176" s="100" t="str">
        <f>IFERROR(__xludf.DUMMYFUNCTION("""COMPUTED_VALUE"""),"002.685.434-10")</f>
        <v>002.685.434-10</v>
      </c>
      <c r="F176" s="100" t="str">
        <f>IFERROR(__xludf.DUMMYFUNCTION("""COMPUTED_VALUE"""),"INFANTIL 2")</f>
        <v>INFANTIL 2</v>
      </c>
      <c r="G176" s="100" t="str">
        <f>IFERROR(__xludf.DUMMYFUNCTION("""COMPUTED_VALUE"""),"CRECHE ALAYDE MARIA DA CONCEICAO")</f>
        <v>CRECHE ALAYDE MARIA DA CONCEICAO</v>
      </c>
      <c r="H176" s="100" t="str">
        <f>IFERROR(__xludf.DUMMYFUNCTION("""COMPUTED_VALUE"""),"REGIONAL 2")</f>
        <v>REGIONAL 2</v>
      </c>
      <c r="I176" s="100"/>
      <c r="J176" s="100"/>
      <c r="K176" s="100"/>
      <c r="L176" s="100"/>
      <c r="M176" s="100"/>
      <c r="N176" s="100"/>
      <c r="O176" s="100"/>
      <c r="P176" s="100"/>
      <c r="Q176" s="100"/>
      <c r="R176" s="100"/>
      <c r="S176" s="100"/>
      <c r="T176" s="100"/>
      <c r="U176" s="100"/>
      <c r="V176" s="100"/>
      <c r="W176" s="100"/>
      <c r="X176" s="100"/>
      <c r="Y176" s="100"/>
      <c r="Z176" s="100"/>
    </row>
    <row r="177" ht="15.75" customHeight="1" spans="1:26">
      <c r="A177" s="100" t="str">
        <f>IFERROR(__xludf.DUMMYFUNCTION("""COMPUTED_VALUE"""),"27/04/2026 15:51:32")</f>
        <v>27/04/2026 15:51:32</v>
      </c>
      <c r="B177" s="101" t="str">
        <f>IFERROR(__xludf.DUMMYFUNCTION("""COMPUTED_VALUE"""),"3")</f>
        <v>3</v>
      </c>
      <c r="C177" s="100" t="str">
        <f>IFERROR(__xludf.DUMMYFUNCTION("""COMPUTED_VALUE"""),"EDRICK FELIPE MELO DOS SANTOS RODRIGUES")</f>
        <v>EDRICK FELIPE MELO DOS SANTOS RODRIGUES</v>
      </c>
      <c r="D177" s="100" t="str">
        <f>IFERROR(__xludf.DUMMYFUNCTION("""COMPUTED_VALUE"""),"11/02/2024")</f>
        <v>11/02/2024</v>
      </c>
      <c r="E177" s="100" t="str">
        <f>IFERROR(__xludf.DUMMYFUNCTION("""COMPUTED_VALUE"""),"001.939.124-22")</f>
        <v>001.939.124-22</v>
      </c>
      <c r="F177" s="100" t="str">
        <f>IFERROR(__xludf.DUMMYFUNCTION("""COMPUTED_VALUE"""),"INFANTIL 2")</f>
        <v>INFANTIL 2</v>
      </c>
      <c r="G177" s="100" t="str">
        <f>IFERROR(__xludf.DUMMYFUNCTION("""COMPUTED_VALUE"""),"CRECHE ALAYDE MARIA DA CONCEICAO")</f>
        <v>CRECHE ALAYDE MARIA DA CONCEICAO</v>
      </c>
      <c r="H177" s="100" t="str">
        <f>IFERROR(__xludf.DUMMYFUNCTION("""COMPUTED_VALUE"""),"REGIONAL 2")</f>
        <v>REGIONAL 2</v>
      </c>
      <c r="I177" s="100"/>
      <c r="J177" s="100"/>
      <c r="K177" s="100"/>
      <c r="L177" s="100"/>
      <c r="M177" s="100"/>
      <c r="N177" s="100"/>
      <c r="O177" s="100"/>
      <c r="P177" s="100"/>
      <c r="Q177" s="100"/>
      <c r="R177" s="100"/>
      <c r="S177" s="100"/>
      <c r="T177" s="100"/>
      <c r="U177" s="100"/>
      <c r="V177" s="100"/>
      <c r="W177" s="100"/>
      <c r="X177" s="100"/>
      <c r="Y177" s="100"/>
      <c r="Z177" s="100"/>
    </row>
    <row r="178" ht="15.75" customHeight="1" spans="1:26">
      <c r="A178" s="100" t="str">
        <f>IFERROR(__xludf.DUMMYFUNCTION("""COMPUTED_VALUE"""),"29/01/2026 11:44:10")</f>
        <v>29/01/2026 11:44:10</v>
      </c>
      <c r="B178" s="101" t="str">
        <f>IFERROR(__xludf.DUMMYFUNCTION("""COMPUTED_VALUE"""),"1")</f>
        <v>1</v>
      </c>
      <c r="C178" s="100" t="str">
        <f>IFERROR(__xludf.DUMMYFUNCTION("""COMPUTED_VALUE"""),"HENRY RICARDO DA SILVA DUARTE")</f>
        <v>HENRY RICARDO DA SILVA DUARTE</v>
      </c>
      <c r="D178" s="100" t="str">
        <f>IFERROR(__xludf.DUMMYFUNCTION("""COMPUTED_VALUE"""),"08/02/2025")</f>
        <v>08/02/2025</v>
      </c>
      <c r="E178" s="100" t="str">
        <f>IFERROR(__xludf.DUMMYFUNCTION("""COMPUTED_VALUE"""),"005.791.554-71")</f>
        <v>005.791.554-71</v>
      </c>
      <c r="F178" s="100" t="str">
        <f>IFERROR(__xludf.DUMMYFUNCTION("""COMPUTED_VALUE"""),"INFANTIL 1")</f>
        <v>INFANTIL 1</v>
      </c>
      <c r="G178" s="100" t="str">
        <f>IFERROR(__xludf.DUMMYFUNCTION("""COMPUTED_VALUE"""),"CRECHE CIRANDA CIRANDINHA")</f>
        <v>CRECHE CIRANDA CIRANDINHA</v>
      </c>
      <c r="H178" s="100" t="str">
        <f>IFERROR(__xludf.DUMMYFUNCTION("""COMPUTED_VALUE"""),"REGIONAL 1")</f>
        <v>REGIONAL 1</v>
      </c>
      <c r="I178" s="100"/>
      <c r="J178" s="100"/>
      <c r="K178" s="100"/>
      <c r="L178" s="100"/>
      <c r="M178" s="100"/>
      <c r="N178" s="100"/>
      <c r="O178" s="100"/>
      <c r="P178" s="100"/>
      <c r="Q178" s="100"/>
      <c r="R178" s="100"/>
      <c r="S178" s="100"/>
      <c r="T178" s="100"/>
      <c r="U178" s="100"/>
      <c r="V178" s="100"/>
      <c r="W178" s="100"/>
      <c r="X178" s="100"/>
      <c r="Y178" s="100"/>
      <c r="Z178" s="100"/>
    </row>
    <row r="179" ht="15.75" customHeight="1" spans="1:26">
      <c r="A179" s="100" t="str">
        <f>IFERROR(__xludf.DUMMYFUNCTION("""COMPUTED_VALUE"""),"04/02/2026 13:14:32")</f>
        <v>04/02/2026 13:14:32</v>
      </c>
      <c r="B179" s="101" t="str">
        <f>IFERROR(__xludf.DUMMYFUNCTION("""COMPUTED_VALUE"""),"2")</f>
        <v>2</v>
      </c>
      <c r="C179" s="100" t="str">
        <f>IFERROR(__xludf.DUMMYFUNCTION("""COMPUTED_VALUE"""),"CHLOE MARIANA NUNES DE SOUZA")</f>
        <v>CHLOE MARIANA NUNES DE SOUZA</v>
      </c>
      <c r="D179" s="100" t="str">
        <f>IFERROR(__xludf.DUMMYFUNCTION("""COMPUTED_VALUE"""),"24/04/2024")</f>
        <v>24/04/2024</v>
      </c>
      <c r="E179" s="100" t="str">
        <f>IFERROR(__xludf.DUMMYFUNCTION("""COMPUTED_VALUE"""),"002.834.774-90")</f>
        <v>002.834.774-90</v>
      </c>
      <c r="F179" s="100" t="str">
        <f>IFERROR(__xludf.DUMMYFUNCTION("""COMPUTED_VALUE"""),"INFANTIL 1")</f>
        <v>INFANTIL 1</v>
      </c>
      <c r="G179" s="100" t="str">
        <f>IFERROR(__xludf.DUMMYFUNCTION("""COMPUTED_VALUE"""),"CRECHE CIRANDA CIRANDINHA")</f>
        <v>CRECHE CIRANDA CIRANDINHA</v>
      </c>
      <c r="H179" s="100" t="str">
        <f>IFERROR(__xludf.DUMMYFUNCTION("""COMPUTED_VALUE"""),"REGIONAL 1")</f>
        <v>REGIONAL 1</v>
      </c>
      <c r="I179" s="100"/>
      <c r="J179" s="100"/>
      <c r="K179" s="100"/>
      <c r="L179" s="100"/>
      <c r="M179" s="100"/>
      <c r="N179" s="100"/>
      <c r="O179" s="100"/>
      <c r="P179" s="100"/>
      <c r="Q179" s="100"/>
      <c r="R179" s="100"/>
      <c r="S179" s="100"/>
      <c r="T179" s="100"/>
      <c r="U179" s="100"/>
      <c r="V179" s="100"/>
      <c r="W179" s="100"/>
      <c r="X179" s="100"/>
      <c r="Y179" s="100"/>
      <c r="Z179" s="100"/>
    </row>
    <row r="180" ht="15.75" customHeight="1" spans="1:26">
      <c r="A180" s="100" t="str">
        <f>IFERROR(__xludf.DUMMYFUNCTION("""COMPUTED_VALUE"""),"19/02/2026 09:00:23")</f>
        <v>19/02/2026 09:00:23</v>
      </c>
      <c r="B180" s="101" t="str">
        <f>IFERROR(__xludf.DUMMYFUNCTION("""COMPUTED_VALUE"""),"3")</f>
        <v>3</v>
      </c>
      <c r="C180" s="100" t="str">
        <f>IFERROR(__xludf.DUMMYFUNCTION("""COMPUTED_VALUE"""),"RHAVI LUCAS DA SILVA SANTANA")</f>
        <v>RHAVI LUCAS DA SILVA SANTANA</v>
      </c>
      <c r="D180" s="100" t="str">
        <f>IFERROR(__xludf.DUMMYFUNCTION("""COMPUTED_VALUE"""),"12/05/2025")</f>
        <v>12/05/2025</v>
      </c>
      <c r="E180" s="100" t="str">
        <f>IFERROR(__xludf.DUMMYFUNCTION("""COMPUTED_VALUE"""),"006.630.604-35")</f>
        <v>006.630.604-35</v>
      </c>
      <c r="F180" s="100" t="str">
        <f>IFERROR(__xludf.DUMMYFUNCTION("""COMPUTED_VALUE"""),"INFANTIL 1")</f>
        <v>INFANTIL 1</v>
      </c>
      <c r="G180" s="100" t="str">
        <f>IFERROR(__xludf.DUMMYFUNCTION("""COMPUTED_VALUE"""),"CRECHE CIRANDA CIRANDINHA")</f>
        <v>CRECHE CIRANDA CIRANDINHA</v>
      </c>
      <c r="H180" s="100" t="str">
        <f>IFERROR(__xludf.DUMMYFUNCTION("""COMPUTED_VALUE"""),"REGIONAL 1")</f>
        <v>REGIONAL 1</v>
      </c>
      <c r="I180" s="100"/>
      <c r="J180" s="100"/>
      <c r="K180" s="100"/>
      <c r="L180" s="100"/>
      <c r="M180" s="100"/>
      <c r="N180" s="100"/>
      <c r="O180" s="100"/>
      <c r="P180" s="100"/>
      <c r="Q180" s="100"/>
      <c r="R180" s="100"/>
      <c r="S180" s="100"/>
      <c r="T180" s="100"/>
      <c r="U180" s="100"/>
      <c r="V180" s="100"/>
      <c r="W180" s="100"/>
      <c r="X180" s="100"/>
      <c r="Y180" s="100"/>
      <c r="Z180" s="100"/>
    </row>
    <row r="181" ht="15.75" customHeight="1" spans="1:26">
      <c r="A181" s="100" t="str">
        <f>IFERROR(__xludf.DUMMYFUNCTION("""COMPUTED_VALUE"""),"14/03/2026 10:04:37")</f>
        <v>14/03/2026 10:04:37</v>
      </c>
      <c r="B181" s="101" t="str">
        <f>IFERROR(__xludf.DUMMYFUNCTION("""COMPUTED_VALUE"""),"4")</f>
        <v>4</v>
      </c>
      <c r="C181" s="100" t="str">
        <f>IFERROR(__xludf.DUMMYFUNCTION("""COMPUTED_VALUE"""),"BERNARDO CARVALHO")</f>
        <v>BERNARDO CARVALHO</v>
      </c>
      <c r="D181" s="100" t="str">
        <f>IFERROR(__xludf.DUMMYFUNCTION("""COMPUTED_VALUE"""),"27/06/2024")</f>
        <v>27/06/2024</v>
      </c>
      <c r="E181" s="100" t="str">
        <f>IFERROR(__xludf.DUMMYFUNCTION("""COMPUTED_VALUE"""),"003.334.034-01")</f>
        <v>003.334.034-01</v>
      </c>
      <c r="F181" s="100" t="str">
        <f>IFERROR(__xludf.DUMMYFUNCTION("""COMPUTED_VALUE"""),"INFANTIL 1")</f>
        <v>INFANTIL 1</v>
      </c>
      <c r="G181" s="100" t="str">
        <f>IFERROR(__xludf.DUMMYFUNCTION("""COMPUTED_VALUE"""),"CRECHE CIRANDA CIRANDINHA")</f>
        <v>CRECHE CIRANDA CIRANDINHA</v>
      </c>
      <c r="H181" s="100" t="str">
        <f>IFERROR(__xludf.DUMMYFUNCTION("""COMPUTED_VALUE"""),"REGIONAL 1")</f>
        <v>REGIONAL 1</v>
      </c>
      <c r="I181" s="100"/>
      <c r="J181" s="100"/>
      <c r="K181" s="100"/>
      <c r="L181" s="100"/>
      <c r="M181" s="100"/>
      <c r="N181" s="100"/>
      <c r="O181" s="100"/>
      <c r="P181" s="100"/>
      <c r="Q181" s="100"/>
      <c r="R181" s="100"/>
      <c r="S181" s="100"/>
      <c r="T181" s="100"/>
      <c r="U181" s="100"/>
      <c r="V181" s="100"/>
      <c r="W181" s="100"/>
      <c r="X181" s="100"/>
      <c r="Y181" s="100"/>
      <c r="Z181" s="100"/>
    </row>
    <row r="182" ht="15.75" customHeight="1" spans="1:26">
      <c r="A182" s="100" t="str">
        <f>IFERROR(__xludf.DUMMYFUNCTION("""COMPUTED_VALUE"""),"30/03/2026 09:26:32")</f>
        <v>30/03/2026 09:26:32</v>
      </c>
      <c r="B182" s="101" t="str">
        <f>IFERROR(__xludf.DUMMYFUNCTION("""COMPUTED_VALUE"""),"5")</f>
        <v>5</v>
      </c>
      <c r="C182" s="100" t="str">
        <f>IFERROR(__xludf.DUMMYFUNCTION("""COMPUTED_VALUE"""),"BELLA MARIA DA SILVA ARAÚJO")</f>
        <v>BELLA MARIA DA SILVA ARAÚJO</v>
      </c>
      <c r="D182" s="100" t="str">
        <f>IFERROR(__xludf.DUMMYFUNCTION("""COMPUTED_VALUE"""),"03/04/2024")</f>
        <v>03/04/2024</v>
      </c>
      <c r="E182" s="100" t="str">
        <f>IFERROR(__xludf.DUMMYFUNCTION("""COMPUTED_VALUE"""),"002.551.834-88")</f>
        <v>002.551.834-88</v>
      </c>
      <c r="F182" s="100" t="str">
        <f>IFERROR(__xludf.DUMMYFUNCTION("""COMPUTED_VALUE"""),"INFANTIL 1")</f>
        <v>INFANTIL 1</v>
      </c>
      <c r="G182" s="100" t="str">
        <f>IFERROR(__xludf.DUMMYFUNCTION("""COMPUTED_VALUE"""),"CRECHE CIRANDA CIRANDINHA")</f>
        <v>CRECHE CIRANDA CIRANDINHA</v>
      </c>
      <c r="H182" s="100" t="str">
        <f>IFERROR(__xludf.DUMMYFUNCTION("""COMPUTED_VALUE"""),"REGIONAL 1")</f>
        <v>REGIONAL 1</v>
      </c>
      <c r="I182" s="100"/>
      <c r="J182" s="100"/>
      <c r="K182" s="100"/>
      <c r="L182" s="100"/>
      <c r="M182" s="100"/>
      <c r="N182" s="100"/>
      <c r="O182" s="100"/>
      <c r="P182" s="100"/>
      <c r="Q182" s="100"/>
      <c r="R182" s="100"/>
      <c r="S182" s="100"/>
      <c r="T182" s="100"/>
      <c r="U182" s="100"/>
      <c r="V182" s="100"/>
      <c r="W182" s="100"/>
      <c r="X182" s="100"/>
      <c r="Y182" s="100"/>
      <c r="Z182" s="100"/>
    </row>
    <row r="183" ht="15.75" customHeight="1" spans="1:26">
      <c r="A183" s="100" t="str">
        <f>IFERROR(__xludf.DUMMYFUNCTION("""COMPUTED_VALUE"""),"30/03/2026 09:26:32")</f>
        <v>30/03/2026 09:26:32</v>
      </c>
      <c r="B183" s="101" t="str">
        <f>IFERROR(__xludf.DUMMYFUNCTION("""COMPUTED_VALUE"""),"6")</f>
        <v>6</v>
      </c>
      <c r="C183" s="100" t="str">
        <f>IFERROR(__xludf.DUMMYFUNCTION("""COMPUTED_VALUE"""),"BERNARDO JOSÉ DA SILVA ARAÚJO")</f>
        <v>BERNARDO JOSÉ DA SILVA ARAÚJO</v>
      </c>
      <c r="D183" s="100" t="str">
        <f>IFERROR(__xludf.DUMMYFUNCTION("""COMPUTED_VALUE"""),"03/04/2024")</f>
        <v>03/04/2024</v>
      </c>
      <c r="E183" s="100" t="str">
        <f>IFERROR(__xludf.DUMMYFUNCTION("""COMPUTED_VALUE"""),"002.551.294-32")</f>
        <v>002.551.294-32</v>
      </c>
      <c r="F183" s="100" t="str">
        <f>IFERROR(__xludf.DUMMYFUNCTION("""COMPUTED_VALUE"""),"INFANTIL 1")</f>
        <v>INFANTIL 1</v>
      </c>
      <c r="G183" s="100" t="str">
        <f>IFERROR(__xludf.DUMMYFUNCTION("""COMPUTED_VALUE"""),"CRECHE CIRANDA CIRANDINHA")</f>
        <v>CRECHE CIRANDA CIRANDINHA</v>
      </c>
      <c r="H183" s="100" t="str">
        <f>IFERROR(__xludf.DUMMYFUNCTION("""COMPUTED_VALUE"""),"REGIONAL 1")</f>
        <v>REGIONAL 1</v>
      </c>
      <c r="I183" s="100"/>
      <c r="J183" s="100"/>
      <c r="K183" s="100"/>
      <c r="L183" s="100"/>
      <c r="M183" s="100"/>
      <c r="N183" s="100"/>
      <c r="O183" s="100"/>
      <c r="P183" s="100"/>
      <c r="Q183" s="100"/>
      <c r="R183" s="100"/>
      <c r="S183" s="100"/>
      <c r="T183" s="100"/>
      <c r="U183" s="100"/>
      <c r="V183" s="100"/>
      <c r="W183" s="100"/>
      <c r="X183" s="100"/>
      <c r="Y183" s="100"/>
      <c r="Z183" s="100"/>
    </row>
    <row r="184" ht="15.75" customHeight="1" spans="1:26">
      <c r="A184" s="100" t="str">
        <f>IFERROR(__xludf.DUMMYFUNCTION("""COMPUTED_VALUE"""),"29/04/2026 14:37:28")</f>
        <v>29/04/2026 14:37:28</v>
      </c>
      <c r="B184" s="101" t="str">
        <f>IFERROR(__xludf.DUMMYFUNCTION("""COMPUTED_VALUE"""),"7")</f>
        <v>7</v>
      </c>
      <c r="C184" s="100" t="str">
        <f>IFERROR(__xludf.DUMMYFUNCTION("""COMPUTED_VALUE"""),"KAUE RAVI BATISTA DO BOMFIM")</f>
        <v>KAUE RAVI BATISTA DO BOMFIM</v>
      </c>
      <c r="D184" s="100" t="str">
        <f>IFERROR(__xludf.DUMMYFUNCTION("""COMPUTED_VALUE"""),"14/01/2025")</f>
        <v>14/01/2025</v>
      </c>
      <c r="E184" s="100" t="str">
        <f>IFERROR(__xludf.DUMMYFUNCTION("""COMPUTED_VALUE"""),"006.037.364-40")</f>
        <v>006.037.364-40</v>
      </c>
      <c r="F184" s="100" t="str">
        <f>IFERROR(__xludf.DUMMYFUNCTION("""COMPUTED_VALUE"""),"INFANTIL 1")</f>
        <v>INFANTIL 1</v>
      </c>
      <c r="G184" s="100" t="str">
        <f>IFERROR(__xludf.DUMMYFUNCTION("""COMPUTED_VALUE"""),"CRECHE CIRANDA CIRANDINHA")</f>
        <v>CRECHE CIRANDA CIRANDINHA</v>
      </c>
      <c r="H184" s="100" t="str">
        <f>IFERROR(__xludf.DUMMYFUNCTION("""COMPUTED_VALUE"""),"REGIONAL 1")</f>
        <v>REGIONAL 1</v>
      </c>
      <c r="I184" s="100"/>
      <c r="J184" s="100"/>
      <c r="K184" s="100"/>
      <c r="L184" s="100"/>
      <c r="M184" s="100"/>
      <c r="N184" s="100"/>
      <c r="O184" s="100"/>
      <c r="P184" s="100"/>
      <c r="Q184" s="100"/>
      <c r="R184" s="100"/>
      <c r="S184" s="100"/>
      <c r="T184" s="100"/>
      <c r="U184" s="100"/>
      <c r="V184" s="100"/>
      <c r="W184" s="100"/>
      <c r="X184" s="100"/>
      <c r="Y184" s="100"/>
      <c r="Z184" s="100"/>
    </row>
    <row r="185" ht="15.75" customHeight="1" spans="1:26">
      <c r="A185" s="100" t="str">
        <f>IFERROR(__xludf.DUMMYFUNCTION("""COMPUTED_VALUE"""),"28/05/2026 16:17:10")</f>
        <v>28/05/2026 16:17:10</v>
      </c>
      <c r="B185" s="101" t="str">
        <f>IFERROR(__xludf.DUMMYFUNCTION("""COMPUTED_VALUE"""),"8")</f>
        <v>8</v>
      </c>
      <c r="C185" s="100" t="str">
        <f>IFERROR(__xludf.DUMMYFUNCTION("""COMPUTED_VALUE"""),"HELENA CECÍLIA RAIMUNDO GOMES")</f>
        <v>HELENA CECÍLIA RAIMUNDO GOMES</v>
      </c>
      <c r="D185" s="100" t="str">
        <f>IFERROR(__xludf.DUMMYFUNCTION("""COMPUTED_VALUE"""),"02/12/2024")</f>
        <v>02/12/2024</v>
      </c>
      <c r="E185" s="100" t="str">
        <f>IFERROR(__xludf.DUMMYFUNCTION("""COMPUTED_VALUE"""),"004.781.934-08")</f>
        <v>004.781.934-08</v>
      </c>
      <c r="F185" s="100" t="str">
        <f>IFERROR(__xludf.DUMMYFUNCTION("""COMPUTED_VALUE"""),"INFANTIL 1")</f>
        <v>INFANTIL 1</v>
      </c>
      <c r="G185" s="100" t="str">
        <f>IFERROR(__xludf.DUMMYFUNCTION("""COMPUTED_VALUE"""),"CRECHE CIRANDA CIRANDINHA")</f>
        <v>CRECHE CIRANDA CIRANDINHA</v>
      </c>
      <c r="H185" s="100" t="str">
        <f>IFERROR(__xludf.DUMMYFUNCTION("""COMPUTED_VALUE"""),"REGIONAL 1")</f>
        <v>REGIONAL 1</v>
      </c>
      <c r="I185" s="100"/>
      <c r="J185" s="100"/>
      <c r="K185" s="100"/>
      <c r="L185" s="100"/>
      <c r="M185" s="100"/>
      <c r="N185" s="100"/>
      <c r="O185" s="100"/>
      <c r="P185" s="100"/>
      <c r="Q185" s="100"/>
      <c r="R185" s="100"/>
      <c r="S185" s="100"/>
      <c r="T185" s="100"/>
      <c r="U185" s="100"/>
      <c r="V185" s="100"/>
      <c r="W185" s="100"/>
      <c r="X185" s="100"/>
      <c r="Y185" s="100"/>
      <c r="Z185" s="100"/>
    </row>
    <row r="186" ht="15.75" customHeight="1" spans="1:26">
      <c r="A186" s="100" t="str">
        <f>IFERROR(__xludf.DUMMYFUNCTION("""COMPUTED_VALUE"""),"02/02/2026 14:50:25")</f>
        <v>02/02/2026 14:50:25</v>
      </c>
      <c r="B186" s="101" t="str">
        <f>IFERROR(__xludf.DUMMYFUNCTION("""COMPUTED_VALUE"""),"1")</f>
        <v>1</v>
      </c>
      <c r="C186" s="100" t="str">
        <f>IFERROR(__xludf.DUMMYFUNCTION("""COMPUTED_VALUE"""),"ALYCIA THAUANA ALBUQUERQUE MOURA DE MELO")</f>
        <v>ALYCIA THAUANA ALBUQUERQUE MOURA DE MELO</v>
      </c>
      <c r="D186" s="100" t="str">
        <f>IFERROR(__xludf.DUMMYFUNCTION("""COMPUTED_VALUE"""),"04/10/2023")</f>
        <v>04/10/2023</v>
      </c>
      <c r="E186" s="100" t="str">
        <f>IFERROR(__xludf.DUMMYFUNCTION("""COMPUTED_VALUE"""),"000.874.154-96")</f>
        <v>000.874.154-96</v>
      </c>
      <c r="F186" s="100" t="str">
        <f>IFERROR(__xludf.DUMMYFUNCTION("""COMPUTED_VALUE"""),"INFANTIL 2")</f>
        <v>INFANTIL 2</v>
      </c>
      <c r="G186" s="100" t="str">
        <f>IFERROR(__xludf.DUMMYFUNCTION("""COMPUTED_VALUE"""),"CRECHE CIRANDA CIRANDINHA")</f>
        <v>CRECHE CIRANDA CIRANDINHA</v>
      </c>
      <c r="H186" s="100" t="str">
        <f>IFERROR(__xludf.DUMMYFUNCTION("""COMPUTED_VALUE"""),"REGIONAL 1")</f>
        <v>REGIONAL 1</v>
      </c>
      <c r="I186" s="100"/>
      <c r="J186" s="100"/>
      <c r="K186" s="100"/>
      <c r="L186" s="100"/>
      <c r="M186" s="100"/>
      <c r="N186" s="100"/>
      <c r="O186" s="100"/>
      <c r="P186" s="100"/>
      <c r="Q186" s="100"/>
      <c r="R186" s="100"/>
      <c r="S186" s="100"/>
      <c r="T186" s="100"/>
      <c r="U186" s="100"/>
      <c r="V186" s="100"/>
      <c r="W186" s="100"/>
      <c r="X186" s="100"/>
      <c r="Y186" s="100"/>
      <c r="Z186" s="100"/>
    </row>
    <row r="187" ht="15.75" customHeight="1" spans="1:26">
      <c r="A187" s="100" t="str">
        <f>IFERROR(__xludf.DUMMYFUNCTION("""COMPUTED_VALUE"""),"09/02/2026 08:21:00")</f>
        <v>09/02/2026 08:21:00</v>
      </c>
      <c r="B187" s="101" t="str">
        <f>IFERROR(__xludf.DUMMYFUNCTION("""COMPUTED_VALUE"""),"2")</f>
        <v>2</v>
      </c>
      <c r="C187" s="100" t="str">
        <f>IFERROR(__xludf.DUMMYFUNCTION("""COMPUTED_VALUE"""),"ELOÁH VITORIA GOMES VASCONCELOS")</f>
        <v>ELOÁH VITORIA GOMES VASCONCELOS</v>
      </c>
      <c r="D187" s="100" t="str">
        <f>IFERROR(__xludf.DUMMYFUNCTION("""COMPUTED_VALUE"""),"15/07/2023")</f>
        <v>15/07/2023</v>
      </c>
      <c r="E187" s="100" t="str">
        <f>IFERROR(__xludf.DUMMYFUNCTION("""COMPUTED_VALUE"""),"186.021.224-70")</f>
        <v>186.021.224-70</v>
      </c>
      <c r="F187" s="100" t="str">
        <f>IFERROR(__xludf.DUMMYFUNCTION("""COMPUTED_VALUE"""),"INFANTIL 2")</f>
        <v>INFANTIL 2</v>
      </c>
      <c r="G187" s="100" t="str">
        <f>IFERROR(__xludf.DUMMYFUNCTION("""COMPUTED_VALUE"""),"CRECHE CIRANDA CIRANDINHA")</f>
        <v>CRECHE CIRANDA CIRANDINHA</v>
      </c>
      <c r="H187" s="100" t="str">
        <f>IFERROR(__xludf.DUMMYFUNCTION("""COMPUTED_VALUE"""),"REGIONAL 1")</f>
        <v>REGIONAL 1</v>
      </c>
      <c r="I187" s="100"/>
      <c r="J187" s="100"/>
      <c r="K187" s="100"/>
      <c r="L187" s="100"/>
      <c r="M187" s="100"/>
      <c r="N187" s="100"/>
      <c r="O187" s="100"/>
      <c r="P187" s="100"/>
      <c r="Q187" s="100"/>
      <c r="R187" s="100"/>
      <c r="S187" s="100"/>
      <c r="T187" s="100"/>
      <c r="U187" s="100"/>
      <c r="V187" s="100"/>
      <c r="W187" s="100"/>
      <c r="X187" s="100"/>
      <c r="Y187" s="100"/>
      <c r="Z187" s="100"/>
    </row>
    <row r="188" ht="15.75" customHeight="1" spans="1:26">
      <c r="A188" s="100" t="str">
        <f>IFERROR(__xludf.DUMMYFUNCTION("""COMPUTED_VALUE"""),"05/04/2026 12:01:39")</f>
        <v>05/04/2026 12:01:39</v>
      </c>
      <c r="B188" s="101" t="str">
        <f>IFERROR(__xludf.DUMMYFUNCTION("""COMPUTED_VALUE"""),"3")</f>
        <v>3</v>
      </c>
      <c r="C188" s="100" t="str">
        <f>IFERROR(__xludf.DUMMYFUNCTION("""COMPUTED_VALUE"""),"BENJAMIM RENNAN MARTINS TEODOZIO DA SILVA")</f>
        <v>BENJAMIM RENNAN MARTINS TEODOZIO DA SILVA</v>
      </c>
      <c r="D188" s="100" t="str">
        <f>IFERROR(__xludf.DUMMYFUNCTION("""COMPUTED_VALUE"""),"28/01/2024")</f>
        <v>28/01/2024</v>
      </c>
      <c r="E188" s="100" t="str">
        <f>IFERROR(__xludf.DUMMYFUNCTION("""COMPUTED_VALUE"""),"001.761.244-62")</f>
        <v>001.761.244-62</v>
      </c>
      <c r="F188" s="100" t="str">
        <f>IFERROR(__xludf.DUMMYFUNCTION("""COMPUTED_VALUE"""),"INFANTIL 2")</f>
        <v>INFANTIL 2</v>
      </c>
      <c r="G188" s="100" t="str">
        <f>IFERROR(__xludf.DUMMYFUNCTION("""COMPUTED_VALUE"""),"CRECHE CIRANDA CIRANDINHA")</f>
        <v>CRECHE CIRANDA CIRANDINHA</v>
      </c>
      <c r="H188" s="100" t="str">
        <f>IFERROR(__xludf.DUMMYFUNCTION("""COMPUTED_VALUE"""),"REGIONAL 1")</f>
        <v>REGIONAL 1</v>
      </c>
      <c r="I188" s="100"/>
      <c r="J188" s="100"/>
      <c r="K188" s="100"/>
      <c r="L188" s="100"/>
      <c r="M188" s="100"/>
      <c r="N188" s="100"/>
      <c r="O188" s="100"/>
      <c r="P188" s="100"/>
      <c r="Q188" s="100"/>
      <c r="R188" s="100"/>
      <c r="S188" s="100"/>
      <c r="T188" s="100"/>
      <c r="U188" s="100"/>
      <c r="V188" s="100"/>
      <c r="W188" s="100"/>
      <c r="X188" s="100"/>
      <c r="Y188" s="100"/>
      <c r="Z188" s="100"/>
    </row>
    <row r="189" ht="15.75" customHeight="1" spans="1:26">
      <c r="A189" s="100" t="str">
        <f>IFERROR(__xludf.DUMMYFUNCTION("""COMPUTED_VALUE"""),"27/04/2026 12:48:07")</f>
        <v>27/04/2026 12:48:07</v>
      </c>
      <c r="B189" s="101" t="str">
        <f>IFERROR(__xludf.DUMMYFUNCTION("""COMPUTED_VALUE"""),"4")</f>
        <v>4</v>
      </c>
      <c r="C189" s="100" t="str">
        <f>IFERROR(__xludf.DUMMYFUNCTION("""COMPUTED_VALUE"""),"ANNYELLE AURORA DE SOUZA SENA")</f>
        <v>ANNYELLE AURORA DE SOUZA SENA</v>
      </c>
      <c r="D189" s="100" t="str">
        <f>IFERROR(__xludf.DUMMYFUNCTION("""COMPUTED_VALUE"""),"23/12/2023")</f>
        <v>23/12/2023</v>
      </c>
      <c r="E189" s="100" t="str">
        <f>IFERROR(__xludf.DUMMYFUNCTION("""COMPUTED_VALUE"""),"001.389.664-43")</f>
        <v>001.389.664-43</v>
      </c>
      <c r="F189" s="100" t="str">
        <f>IFERROR(__xludf.DUMMYFUNCTION("""COMPUTED_VALUE"""),"INFANTIL 2")</f>
        <v>INFANTIL 2</v>
      </c>
      <c r="G189" s="100" t="str">
        <f>IFERROR(__xludf.DUMMYFUNCTION("""COMPUTED_VALUE"""),"CRECHE CIRANDA CIRANDINHA")</f>
        <v>CRECHE CIRANDA CIRANDINHA</v>
      </c>
      <c r="H189" s="100" t="str">
        <f>IFERROR(__xludf.DUMMYFUNCTION("""COMPUTED_VALUE"""),"REGIONAL 1")</f>
        <v>REGIONAL 1</v>
      </c>
      <c r="I189" s="100"/>
      <c r="J189" s="100"/>
      <c r="K189" s="100"/>
      <c r="L189" s="100"/>
      <c r="M189" s="100"/>
      <c r="N189" s="100"/>
      <c r="O189" s="100"/>
      <c r="P189" s="100"/>
      <c r="Q189" s="100"/>
      <c r="R189" s="100"/>
      <c r="S189" s="100"/>
      <c r="T189" s="100"/>
      <c r="U189" s="100"/>
      <c r="V189" s="100"/>
      <c r="W189" s="100"/>
      <c r="X189" s="100"/>
      <c r="Y189" s="100"/>
      <c r="Z189" s="100"/>
    </row>
    <row r="190" ht="15.75" customHeight="1" spans="1:26">
      <c r="A190" s="100" t="str">
        <f>IFERROR(__xludf.DUMMYFUNCTION("""COMPUTED_VALUE"""),"15/05/2026 16:29:07")</f>
        <v>15/05/2026 16:29:07</v>
      </c>
      <c r="B190" s="101" t="str">
        <f>IFERROR(__xludf.DUMMYFUNCTION("""COMPUTED_VALUE"""),"5")</f>
        <v>5</v>
      </c>
      <c r="C190" s="100" t="str">
        <f>IFERROR(__xludf.DUMMYFUNCTION("""COMPUTED_VALUE"""),"ALANA MARIA LOPES DA SILVA")</f>
        <v>ALANA MARIA LOPES DA SILVA</v>
      </c>
      <c r="D190" s="100" t="str">
        <f>IFERROR(__xludf.DUMMYFUNCTION("""COMPUTED_VALUE"""),"18/02/2024")</f>
        <v>18/02/2024</v>
      </c>
      <c r="E190" s="100" t="str">
        <f>IFERROR(__xludf.DUMMYFUNCTION("""COMPUTED_VALUE"""),"002.579.874-01")</f>
        <v>002.579.874-01</v>
      </c>
      <c r="F190" s="100" t="str">
        <f>IFERROR(__xludf.DUMMYFUNCTION("""COMPUTED_VALUE"""),"INFANTIL 2")</f>
        <v>INFANTIL 2</v>
      </c>
      <c r="G190" s="100" t="str">
        <f>IFERROR(__xludf.DUMMYFUNCTION("""COMPUTED_VALUE"""),"CRECHE CIRANDA CIRANDINHA")</f>
        <v>CRECHE CIRANDA CIRANDINHA</v>
      </c>
      <c r="H190" s="100" t="str">
        <f>IFERROR(__xludf.DUMMYFUNCTION("""COMPUTED_VALUE"""),"REGIONAL 1")</f>
        <v>REGIONAL 1</v>
      </c>
      <c r="I190" s="100"/>
      <c r="J190" s="100"/>
      <c r="K190" s="100"/>
      <c r="L190" s="100"/>
      <c r="M190" s="100"/>
      <c r="N190" s="100"/>
      <c r="O190" s="100"/>
      <c r="P190" s="100"/>
      <c r="Q190" s="100"/>
      <c r="R190" s="100"/>
      <c r="S190" s="100"/>
      <c r="T190" s="100"/>
      <c r="U190" s="100"/>
      <c r="V190" s="100"/>
      <c r="W190" s="100"/>
      <c r="X190" s="100"/>
      <c r="Y190" s="100"/>
      <c r="Z190" s="100"/>
    </row>
    <row r="191" ht="15.75" customHeight="1" spans="1:26">
      <c r="A191" s="100" t="str">
        <f>IFERROR(__xludf.DUMMYFUNCTION("""COMPUTED_VALUE"""),"26/05/2026 14:30:52")</f>
        <v>26/05/2026 14:30:52</v>
      </c>
      <c r="B191" s="101" t="str">
        <f>IFERROR(__xludf.DUMMYFUNCTION("""COMPUTED_VALUE"""),"6")</f>
        <v>6</v>
      </c>
      <c r="C191" s="100" t="str">
        <f>IFERROR(__xludf.DUMMYFUNCTION("""COMPUTED_VALUE"""),"RHAVI VICTOR RIBEIRO DO NASCIMENTO")</f>
        <v>RHAVI VICTOR RIBEIRO DO NASCIMENTO</v>
      </c>
      <c r="D191" s="100" t="str">
        <f>IFERROR(__xludf.DUMMYFUNCTION("""COMPUTED_VALUE"""),"20/05/2023")</f>
        <v>20/05/2023</v>
      </c>
      <c r="E191" s="100" t="str">
        <f>IFERROR(__xludf.DUMMYFUNCTION("""COMPUTED_VALUE"""),"000.875.144-78")</f>
        <v>000.875.144-78</v>
      </c>
      <c r="F191" s="100" t="str">
        <f>IFERROR(__xludf.DUMMYFUNCTION("""COMPUTED_VALUE"""),"INFANTIL 2")</f>
        <v>INFANTIL 2</v>
      </c>
      <c r="G191" s="100" t="str">
        <f>IFERROR(__xludf.DUMMYFUNCTION("""COMPUTED_VALUE"""),"CRECHE CIRANDA CIRANDINHA")</f>
        <v>CRECHE CIRANDA CIRANDINHA</v>
      </c>
      <c r="H191" s="100" t="str">
        <f>IFERROR(__xludf.DUMMYFUNCTION("""COMPUTED_VALUE"""),"REGIONAL 1")</f>
        <v>REGIONAL 1</v>
      </c>
      <c r="I191" s="100"/>
      <c r="J191" s="100"/>
      <c r="K191" s="100"/>
      <c r="L191" s="100"/>
      <c r="M191" s="100"/>
      <c r="N191" s="100"/>
      <c r="O191" s="100"/>
      <c r="P191" s="100"/>
      <c r="Q191" s="100"/>
      <c r="R191" s="100"/>
      <c r="S191" s="100"/>
      <c r="T191" s="100"/>
      <c r="U191" s="100"/>
      <c r="V191" s="100"/>
      <c r="W191" s="100"/>
      <c r="X191" s="100"/>
      <c r="Y191" s="100"/>
      <c r="Z191" s="100"/>
    </row>
    <row r="192" ht="15.75" customHeight="1" spans="1:26">
      <c r="A192" s="100" t="str">
        <f>IFERROR(__xludf.DUMMYFUNCTION("""COMPUTED_VALUE"""),"28/01/2026 08:23:25")</f>
        <v>28/01/2026 08:23:25</v>
      </c>
      <c r="B192" s="101" t="str">
        <f>IFERROR(__xludf.DUMMYFUNCTION("""COMPUTED_VALUE"""),"1")</f>
        <v>1</v>
      </c>
      <c r="C192" s="100" t="str">
        <f>IFERROR(__xludf.DUMMYFUNCTION("""COMPUTED_VALUE"""),"LUCAS MIGUEL DA SILVA NOBRE")</f>
        <v>LUCAS MIGUEL DA SILVA NOBRE</v>
      </c>
      <c r="D192" s="100" t="str">
        <f>IFERROR(__xludf.DUMMYFUNCTION("""COMPUTED_VALUE"""),"18/02/2023")</f>
        <v>18/02/2023</v>
      </c>
      <c r="E192" s="100" t="str">
        <f>IFERROR(__xludf.DUMMYFUNCTION("""COMPUTED_VALUE"""),"184.637.614-96")</f>
        <v>184.637.614-96</v>
      </c>
      <c r="F192" s="100" t="str">
        <f>IFERROR(__xludf.DUMMYFUNCTION("""COMPUTED_VALUE"""),"INFANTIL 3")</f>
        <v>INFANTIL 3</v>
      </c>
      <c r="G192" s="100" t="str">
        <f>IFERROR(__xludf.DUMMYFUNCTION("""COMPUTED_VALUE"""),"CRECHE CIRANDA CIRANDINHA")</f>
        <v>CRECHE CIRANDA CIRANDINHA</v>
      </c>
      <c r="H192" s="100" t="str">
        <f>IFERROR(__xludf.DUMMYFUNCTION("""COMPUTED_VALUE"""),"REGIONAL 1")</f>
        <v>REGIONAL 1</v>
      </c>
      <c r="I192" s="100"/>
      <c r="J192" s="100"/>
      <c r="K192" s="100"/>
      <c r="L192" s="100"/>
      <c r="M192" s="100"/>
      <c r="N192" s="100"/>
      <c r="O192" s="100"/>
      <c r="P192" s="100"/>
      <c r="Q192" s="100"/>
      <c r="R192" s="100"/>
      <c r="S192" s="100"/>
      <c r="T192" s="100"/>
      <c r="U192" s="100"/>
      <c r="V192" s="100"/>
      <c r="W192" s="100"/>
      <c r="X192" s="100"/>
      <c r="Y192" s="100"/>
      <c r="Z192" s="100"/>
    </row>
    <row r="193" ht="15.75" customHeight="1" spans="1:26">
      <c r="A193" s="100" t="str">
        <f>IFERROR(__xludf.DUMMYFUNCTION("""COMPUTED_VALUE"""),"30/01/2026 09:24:54")</f>
        <v>30/01/2026 09:24:54</v>
      </c>
      <c r="B193" s="101" t="str">
        <f>IFERROR(__xludf.DUMMYFUNCTION("""COMPUTED_VALUE"""),"2")</f>
        <v>2</v>
      </c>
      <c r="C193" s="100" t="str">
        <f>IFERROR(__xludf.DUMMYFUNCTION("""COMPUTED_VALUE"""),"KAMYLY VALÉRIA MARTINS DOS SANTOS")</f>
        <v>KAMYLY VALÉRIA MARTINS DOS SANTOS</v>
      </c>
      <c r="D193" s="100" t="str">
        <f>IFERROR(__xludf.DUMMYFUNCTION("""COMPUTED_VALUE"""),"27/06/2022")</f>
        <v>27/06/2022</v>
      </c>
      <c r="E193" s="100" t="str">
        <f>IFERROR(__xludf.DUMMYFUNCTION("""COMPUTED_VALUE"""),"182.750.634-26")</f>
        <v>182.750.634-26</v>
      </c>
      <c r="F193" s="100" t="str">
        <f>IFERROR(__xludf.DUMMYFUNCTION("""COMPUTED_VALUE"""),"INFANTIL 3")</f>
        <v>INFANTIL 3</v>
      </c>
      <c r="G193" s="100" t="str">
        <f>IFERROR(__xludf.DUMMYFUNCTION("""COMPUTED_VALUE"""),"CRECHE CIRANDA CIRANDINHA")</f>
        <v>CRECHE CIRANDA CIRANDINHA</v>
      </c>
      <c r="H193" s="100" t="str">
        <f>IFERROR(__xludf.DUMMYFUNCTION("""COMPUTED_VALUE"""),"REGIONAL 1")</f>
        <v>REGIONAL 1</v>
      </c>
      <c r="I193" s="100"/>
      <c r="J193" s="100"/>
      <c r="K193" s="100"/>
      <c r="L193" s="100"/>
      <c r="M193" s="100"/>
      <c r="N193" s="100"/>
      <c r="O193" s="100"/>
      <c r="P193" s="100"/>
      <c r="Q193" s="100"/>
      <c r="R193" s="100"/>
      <c r="S193" s="100"/>
      <c r="T193" s="100"/>
      <c r="U193" s="100"/>
      <c r="V193" s="100"/>
      <c r="W193" s="100"/>
      <c r="X193" s="100"/>
      <c r="Y193" s="100"/>
      <c r="Z193" s="100"/>
    </row>
    <row r="194" ht="15.75" customHeight="1" spans="1:26">
      <c r="A194" s="100" t="str">
        <f>IFERROR(__xludf.DUMMYFUNCTION("""COMPUTED_VALUE"""),"02/02/2026 11:47:44")</f>
        <v>02/02/2026 11:47:44</v>
      </c>
      <c r="B194" s="101" t="str">
        <f>IFERROR(__xludf.DUMMYFUNCTION("""COMPUTED_VALUE"""),"3")</f>
        <v>3</v>
      </c>
      <c r="C194" s="100" t="str">
        <f>IFERROR(__xludf.DUMMYFUNCTION("""COMPUTED_VALUE"""),"CLARICE HELOISE ALVES FERREIRA")</f>
        <v>CLARICE HELOISE ALVES FERREIRA</v>
      </c>
      <c r="D194" s="100" t="str">
        <f>IFERROR(__xludf.DUMMYFUNCTION("""COMPUTED_VALUE"""),"29/01/2023")</f>
        <v>29/01/2023</v>
      </c>
      <c r="E194" s="100" t="str">
        <f>IFERROR(__xludf.DUMMYFUNCTION("""COMPUTED_VALUE"""),"185.926.924-90")</f>
        <v>185.926.924-90</v>
      </c>
      <c r="F194" s="100" t="str">
        <f>IFERROR(__xludf.DUMMYFUNCTION("""COMPUTED_VALUE"""),"INFANTIL 3")</f>
        <v>INFANTIL 3</v>
      </c>
      <c r="G194" s="100" t="str">
        <f>IFERROR(__xludf.DUMMYFUNCTION("""COMPUTED_VALUE"""),"CRECHE CIRANDA CIRANDINHA")</f>
        <v>CRECHE CIRANDA CIRANDINHA</v>
      </c>
      <c r="H194" s="100" t="str">
        <f>IFERROR(__xludf.DUMMYFUNCTION("""COMPUTED_VALUE"""),"REGIONAL 1")</f>
        <v>REGIONAL 1</v>
      </c>
      <c r="I194" s="100"/>
      <c r="J194" s="100"/>
      <c r="K194" s="100"/>
      <c r="L194" s="100"/>
      <c r="M194" s="100"/>
      <c r="N194" s="100"/>
      <c r="O194" s="100"/>
      <c r="P194" s="100"/>
      <c r="Q194" s="100"/>
      <c r="R194" s="100"/>
      <c r="S194" s="100"/>
      <c r="T194" s="100"/>
      <c r="U194" s="100"/>
      <c r="V194" s="100"/>
      <c r="W194" s="100"/>
      <c r="X194" s="100"/>
      <c r="Y194" s="100"/>
      <c r="Z194" s="100"/>
    </row>
    <row r="195" ht="15.75" customHeight="1" spans="1:26">
      <c r="A195" s="100" t="str">
        <f>IFERROR(__xludf.DUMMYFUNCTION("""COMPUTED_VALUE"""),"09/02/2026 19:24:03")</f>
        <v>09/02/2026 19:24:03</v>
      </c>
      <c r="B195" s="101" t="str">
        <f>IFERROR(__xludf.DUMMYFUNCTION("""COMPUTED_VALUE"""),"4")</f>
        <v>4</v>
      </c>
      <c r="C195" s="100" t="str">
        <f>IFERROR(__xludf.DUMMYFUNCTION("""COMPUTED_VALUE"""),"THAYLLANE ALLANA OLIVEIRA SILVA")</f>
        <v>THAYLLANE ALLANA OLIVEIRA SILVA</v>
      </c>
      <c r="D195" s="100" t="str">
        <f>IFERROR(__xludf.DUMMYFUNCTION("""COMPUTED_VALUE"""),"29/01/2023")</f>
        <v>29/01/2023</v>
      </c>
      <c r="E195" s="100" t="str">
        <f>IFERROR(__xludf.DUMMYFUNCTION("""COMPUTED_VALUE"""),"184.525.014-12")</f>
        <v>184.525.014-12</v>
      </c>
      <c r="F195" s="100" t="str">
        <f>IFERROR(__xludf.DUMMYFUNCTION("""COMPUTED_VALUE"""),"INFANTIL 3")</f>
        <v>INFANTIL 3</v>
      </c>
      <c r="G195" s="100" t="str">
        <f>IFERROR(__xludf.DUMMYFUNCTION("""COMPUTED_VALUE"""),"CRECHE CIRANDA CIRANDINHA")</f>
        <v>CRECHE CIRANDA CIRANDINHA</v>
      </c>
      <c r="H195" s="100" t="str">
        <f>IFERROR(__xludf.DUMMYFUNCTION("""COMPUTED_VALUE"""),"REGIONAL 1")</f>
        <v>REGIONAL 1</v>
      </c>
      <c r="I195" s="100"/>
      <c r="J195" s="100"/>
      <c r="K195" s="100"/>
      <c r="L195" s="100"/>
      <c r="M195" s="100"/>
      <c r="N195" s="100"/>
      <c r="O195" s="100"/>
      <c r="P195" s="100"/>
      <c r="Q195" s="100"/>
      <c r="R195" s="100"/>
      <c r="S195" s="100"/>
      <c r="T195" s="100"/>
      <c r="U195" s="100"/>
      <c r="V195" s="100"/>
      <c r="W195" s="100"/>
      <c r="X195" s="100"/>
      <c r="Y195" s="100"/>
      <c r="Z195" s="100"/>
    </row>
    <row r="196" ht="15.75" customHeight="1" spans="1:26">
      <c r="A196" s="100" t="str">
        <f>IFERROR(__xludf.DUMMYFUNCTION("""COMPUTED_VALUE"""),"26/02/2026 23:38:28")</f>
        <v>26/02/2026 23:38:28</v>
      </c>
      <c r="B196" s="101" t="str">
        <f>IFERROR(__xludf.DUMMYFUNCTION("""COMPUTED_VALUE"""),"5")</f>
        <v>5</v>
      </c>
      <c r="C196" s="100" t="str">
        <f>IFERROR(__xludf.DUMMYFUNCTION("""COMPUTED_VALUE"""),"CALEFFI EPITACIO DOS SANTOS ROCHA")</f>
        <v>CALEFFI EPITACIO DOS SANTOS ROCHA</v>
      </c>
      <c r="D196" s="100" t="str">
        <f>IFERROR(__xludf.DUMMYFUNCTION("""COMPUTED_VALUE"""),"04/06/2022")</f>
        <v>04/06/2022</v>
      </c>
      <c r="E196" s="100" t="str">
        <f>IFERROR(__xludf.DUMMYFUNCTION("""COMPUTED_VALUE"""),"181.851.404-48")</f>
        <v>181.851.404-48</v>
      </c>
      <c r="F196" s="100" t="str">
        <f>IFERROR(__xludf.DUMMYFUNCTION("""COMPUTED_VALUE"""),"INFANTIL 3")</f>
        <v>INFANTIL 3</v>
      </c>
      <c r="G196" s="100" t="str">
        <f>IFERROR(__xludf.DUMMYFUNCTION("""COMPUTED_VALUE"""),"CRECHE CIRANDA CIRANDINHA")</f>
        <v>CRECHE CIRANDA CIRANDINHA</v>
      </c>
      <c r="H196" s="100" t="str">
        <f>IFERROR(__xludf.DUMMYFUNCTION("""COMPUTED_VALUE"""),"REGIONAL 1")</f>
        <v>REGIONAL 1</v>
      </c>
      <c r="I196" s="100"/>
      <c r="J196" s="100"/>
      <c r="K196" s="100"/>
      <c r="L196" s="100"/>
      <c r="M196" s="100"/>
      <c r="N196" s="100"/>
      <c r="O196" s="100"/>
      <c r="P196" s="100"/>
      <c r="Q196" s="100"/>
      <c r="R196" s="100"/>
      <c r="S196" s="100"/>
      <c r="T196" s="100"/>
      <c r="U196" s="100"/>
      <c r="V196" s="100"/>
      <c r="W196" s="100"/>
      <c r="X196" s="100"/>
      <c r="Y196" s="100"/>
      <c r="Z196" s="100"/>
    </row>
    <row r="197" ht="15.75" customHeight="1" spans="1:26">
      <c r="A197" s="100" t="str">
        <f>IFERROR(__xludf.DUMMYFUNCTION("""COMPUTED_VALUE"""),"24/03/2026 10:37:29")</f>
        <v>24/03/2026 10:37:29</v>
      </c>
      <c r="B197" s="101" t="str">
        <f>IFERROR(__xludf.DUMMYFUNCTION("""COMPUTED_VALUE"""),"6")</f>
        <v>6</v>
      </c>
      <c r="C197" s="100" t="str">
        <f>IFERROR(__xludf.DUMMYFUNCTION("""COMPUTED_VALUE"""),"RICARDO MATEUS SILVA CAVALCANTE FELIX")</f>
        <v>RICARDO MATEUS SILVA CAVALCANTE FELIX</v>
      </c>
      <c r="D197" s="100" t="str">
        <f>IFERROR(__xludf.DUMMYFUNCTION("""COMPUTED_VALUE"""),"20/08/2022")</f>
        <v>20/08/2022</v>
      </c>
      <c r="E197" s="100" t="str">
        <f>IFERROR(__xludf.DUMMYFUNCTION("""COMPUTED_VALUE"""),"182.595.494-17")</f>
        <v>182.595.494-17</v>
      </c>
      <c r="F197" s="100" t="str">
        <f>IFERROR(__xludf.DUMMYFUNCTION("""COMPUTED_VALUE"""),"INFANTIL 3")</f>
        <v>INFANTIL 3</v>
      </c>
      <c r="G197" s="100" t="str">
        <f>IFERROR(__xludf.DUMMYFUNCTION("""COMPUTED_VALUE"""),"CRECHE CIRANDA CIRANDINHA")</f>
        <v>CRECHE CIRANDA CIRANDINHA</v>
      </c>
      <c r="H197" s="100" t="str">
        <f>IFERROR(__xludf.DUMMYFUNCTION("""COMPUTED_VALUE"""),"REGIONAL 1")</f>
        <v>REGIONAL 1</v>
      </c>
      <c r="I197" s="100"/>
      <c r="J197" s="100"/>
      <c r="K197" s="100"/>
      <c r="L197" s="100"/>
      <c r="M197" s="100"/>
      <c r="N197" s="100"/>
      <c r="O197" s="100"/>
      <c r="P197" s="100"/>
      <c r="Q197" s="100"/>
      <c r="R197" s="100"/>
      <c r="S197" s="100"/>
      <c r="T197" s="100"/>
      <c r="U197" s="100"/>
      <c r="V197" s="100"/>
      <c r="W197" s="100"/>
      <c r="X197" s="100"/>
      <c r="Y197" s="100"/>
      <c r="Z197" s="100"/>
    </row>
    <row r="198" ht="15.75" customHeight="1" spans="1:26">
      <c r="A198" s="100" t="str">
        <f>IFERROR(__xludf.DUMMYFUNCTION("""COMPUTED_VALUE"""),"23/04/2026 12:52:15")</f>
        <v>23/04/2026 12:52:15</v>
      </c>
      <c r="B198" s="101" t="str">
        <f>IFERROR(__xludf.DUMMYFUNCTION("""COMPUTED_VALUE"""),"7")</f>
        <v>7</v>
      </c>
      <c r="C198" s="100" t="str">
        <f>IFERROR(__xludf.DUMMYFUNCTION("""COMPUTED_VALUE"""),"YKARO MIGUEL DA SILVA GONÇALVES")</f>
        <v>YKARO MIGUEL DA SILVA GONÇALVES</v>
      </c>
      <c r="D198" s="100" t="str">
        <f>IFERROR(__xludf.DUMMYFUNCTION("""COMPUTED_VALUE"""),"20/05/2022")</f>
        <v>20/05/2022</v>
      </c>
      <c r="E198" s="100" t="str">
        <f>IFERROR(__xludf.DUMMYFUNCTION("""COMPUTED_VALUE"""),"181.678.504-04")</f>
        <v>181.678.504-04</v>
      </c>
      <c r="F198" s="100" t="str">
        <f>IFERROR(__xludf.DUMMYFUNCTION("""COMPUTED_VALUE"""),"INFANTIL 3")</f>
        <v>INFANTIL 3</v>
      </c>
      <c r="G198" s="100" t="str">
        <f>IFERROR(__xludf.DUMMYFUNCTION("""COMPUTED_VALUE"""),"CRECHE CIRANDA CIRANDINHA")</f>
        <v>CRECHE CIRANDA CIRANDINHA</v>
      </c>
      <c r="H198" s="100" t="str">
        <f>IFERROR(__xludf.DUMMYFUNCTION("""COMPUTED_VALUE"""),"REGIONAL 1")</f>
        <v>REGIONAL 1</v>
      </c>
      <c r="I198" s="100"/>
      <c r="J198" s="100"/>
      <c r="K198" s="100"/>
      <c r="L198" s="100"/>
      <c r="M198" s="100"/>
      <c r="N198" s="100"/>
      <c r="O198" s="100"/>
      <c r="P198" s="100"/>
      <c r="Q198" s="100"/>
      <c r="R198" s="100"/>
      <c r="S198" s="100"/>
      <c r="T198" s="100"/>
      <c r="U198" s="100"/>
      <c r="V198" s="100"/>
      <c r="W198" s="100"/>
      <c r="X198" s="100"/>
      <c r="Y198" s="100"/>
      <c r="Z198" s="100"/>
    </row>
    <row r="199" ht="15.75" customHeight="1" spans="1:26">
      <c r="A199" s="100" t="str">
        <f>IFERROR(__xludf.DUMMYFUNCTION("""COMPUTED_VALUE"""),"26/03/2026 13:48:28")</f>
        <v>26/03/2026 13:48:28</v>
      </c>
      <c r="B199" s="101" t="str">
        <f>IFERROR(__xludf.DUMMYFUNCTION("""COMPUTED_VALUE"""),"1")</f>
        <v>1</v>
      </c>
      <c r="C199" s="100" t="str">
        <f>IFERROR(__xludf.DUMMYFUNCTION("""COMPUTED_VALUE"""),"RAVI SOARES JUSTINO")</f>
        <v>RAVI SOARES JUSTINO</v>
      </c>
      <c r="D199" s="100" t="str">
        <f>IFERROR(__xludf.DUMMYFUNCTION("""COMPUTED_VALUE"""),"07/02/2025")</f>
        <v>07/02/2025</v>
      </c>
      <c r="E199" s="100" t="str">
        <f>IFERROR(__xludf.DUMMYFUNCTION("""COMPUTED_VALUE"""),"005.331.324-01")</f>
        <v>005.331.324-01</v>
      </c>
      <c r="F199" s="100" t="str">
        <f>IFERROR(__xludf.DUMMYFUNCTION("""COMPUTED_VALUE"""),"INFANTIL 1")</f>
        <v>INFANTIL 1</v>
      </c>
      <c r="G199" s="100" t="str">
        <f>IFERROR(__xludf.DUMMYFUNCTION("""COMPUTED_VALUE"""),"CRECHE MERCIA DE ALBUQUERQUE")</f>
        <v>CRECHE MERCIA DE ALBUQUERQUE</v>
      </c>
      <c r="H199" s="100" t="str">
        <f>IFERROR(__xludf.DUMMYFUNCTION("""COMPUTED_VALUE"""),"REGIONAL 6")</f>
        <v>REGIONAL 6</v>
      </c>
      <c r="I199" s="100"/>
      <c r="J199" s="100"/>
      <c r="K199" s="100"/>
      <c r="L199" s="100"/>
      <c r="M199" s="100"/>
      <c r="N199" s="100"/>
      <c r="O199" s="100"/>
      <c r="P199" s="100"/>
      <c r="Q199" s="100"/>
      <c r="R199" s="100"/>
      <c r="S199" s="100"/>
      <c r="T199" s="100"/>
      <c r="U199" s="100"/>
      <c r="V199" s="100"/>
      <c r="W199" s="100"/>
      <c r="X199" s="100"/>
      <c r="Y199" s="100"/>
      <c r="Z199" s="100"/>
    </row>
    <row r="200" ht="15.75" customHeight="1" spans="1:26">
      <c r="A200" s="100" t="str">
        <f>IFERROR(__xludf.DUMMYFUNCTION("""COMPUTED_VALUE"""),"08/04/2026 10:22:51")</f>
        <v>08/04/2026 10:22:51</v>
      </c>
      <c r="B200" s="101" t="str">
        <f>IFERROR(__xludf.DUMMYFUNCTION("""COMPUTED_VALUE"""),"2")</f>
        <v>2</v>
      </c>
      <c r="C200" s="100" t="str">
        <f>IFERROR(__xludf.DUMMYFUNCTION("""COMPUTED_VALUE"""),"AQUILES ALEXANDRE RODRIGUES DA SILVA")</f>
        <v>AQUILES ALEXANDRE RODRIGUES DA SILVA</v>
      </c>
      <c r="D200" s="100" t="str">
        <f>IFERROR(__xludf.DUMMYFUNCTION("""COMPUTED_VALUE"""),"29/07/2025")</f>
        <v>29/07/2025</v>
      </c>
      <c r="E200" s="100" t="str">
        <f>IFERROR(__xludf.DUMMYFUNCTION("""COMPUTED_VALUE"""),"006.893.874-82")</f>
        <v>006.893.874-82</v>
      </c>
      <c r="F200" s="100" t="str">
        <f>IFERROR(__xludf.DUMMYFUNCTION("""COMPUTED_VALUE"""),"INFANTIL 1")</f>
        <v>INFANTIL 1</v>
      </c>
      <c r="G200" s="100" t="str">
        <f>IFERROR(__xludf.DUMMYFUNCTION("""COMPUTED_VALUE"""),"CRECHE MERCIA DE ALBUQUERQUE")</f>
        <v>CRECHE MERCIA DE ALBUQUERQUE</v>
      </c>
      <c r="H200" s="100" t="str">
        <f>IFERROR(__xludf.DUMMYFUNCTION("""COMPUTED_VALUE"""),"REGIONAL 6")</f>
        <v>REGIONAL 6</v>
      </c>
      <c r="I200" s="100"/>
      <c r="J200" s="100"/>
      <c r="K200" s="100"/>
      <c r="L200" s="100"/>
      <c r="M200" s="100"/>
      <c r="N200" s="100"/>
      <c r="O200" s="100"/>
      <c r="P200" s="100"/>
      <c r="Q200" s="100"/>
      <c r="R200" s="100"/>
      <c r="S200" s="100"/>
      <c r="T200" s="100"/>
      <c r="U200" s="100"/>
      <c r="V200" s="100"/>
      <c r="W200" s="100"/>
      <c r="X200" s="100"/>
      <c r="Y200" s="100"/>
      <c r="Z200" s="100"/>
    </row>
    <row r="201" ht="15.75" customHeight="1" spans="1:26">
      <c r="A201" s="100" t="str">
        <f>IFERROR(__xludf.DUMMYFUNCTION("""COMPUTED_VALUE"""),"11/04/2026 18:35:35")</f>
        <v>11/04/2026 18:35:35</v>
      </c>
      <c r="B201" s="101" t="str">
        <f>IFERROR(__xludf.DUMMYFUNCTION("""COMPUTED_VALUE"""),"3")</f>
        <v>3</v>
      </c>
      <c r="C201" s="100" t="str">
        <f>IFERROR(__xludf.DUMMYFUNCTION("""COMPUTED_VALUE"""),"ESTHER GABRIELY OLIVEIRA DA SILVA")</f>
        <v>ESTHER GABRIELY OLIVEIRA DA SILVA</v>
      </c>
      <c r="D201" s="100" t="str">
        <f>IFERROR(__xludf.DUMMYFUNCTION("""COMPUTED_VALUE"""),"24/08/2025")</f>
        <v>24/08/2025</v>
      </c>
      <c r="E201" s="100" t="str">
        <f>IFERROR(__xludf.DUMMYFUNCTION("""COMPUTED_VALUE"""),"713.786.274-82")</f>
        <v>713.786.274-82</v>
      </c>
      <c r="F201" s="100" t="str">
        <f>IFERROR(__xludf.DUMMYFUNCTION("""COMPUTED_VALUE"""),"INFANTIL 1")</f>
        <v>INFANTIL 1</v>
      </c>
      <c r="G201" s="100" t="str">
        <f>IFERROR(__xludf.DUMMYFUNCTION("""COMPUTED_VALUE"""),"CRECHE MERCIA DE ALBUQUERQUE")</f>
        <v>CRECHE MERCIA DE ALBUQUERQUE</v>
      </c>
      <c r="H201" s="100" t="str">
        <f>IFERROR(__xludf.DUMMYFUNCTION("""COMPUTED_VALUE"""),"REGIONAL 6")</f>
        <v>REGIONAL 6</v>
      </c>
      <c r="I201" s="100"/>
      <c r="J201" s="100"/>
      <c r="K201" s="100"/>
      <c r="L201" s="100"/>
      <c r="M201" s="100"/>
      <c r="N201" s="100"/>
      <c r="O201" s="100"/>
      <c r="P201" s="100"/>
      <c r="Q201" s="100"/>
      <c r="R201" s="100"/>
      <c r="S201" s="100"/>
      <c r="T201" s="100"/>
      <c r="U201" s="100"/>
      <c r="V201" s="100"/>
      <c r="W201" s="100"/>
      <c r="X201" s="100"/>
      <c r="Y201" s="100"/>
      <c r="Z201" s="100"/>
    </row>
    <row r="202" ht="15.75" customHeight="1" spans="1:26">
      <c r="A202" s="100" t="str">
        <f>IFERROR(__xludf.DUMMYFUNCTION("""COMPUTED_VALUE"""),"29/04/2026 15:30:17")</f>
        <v>29/04/2026 15:30:17</v>
      </c>
      <c r="B202" s="101" t="str">
        <f>IFERROR(__xludf.DUMMYFUNCTION("""COMPUTED_VALUE"""),"4")</f>
        <v>4</v>
      </c>
      <c r="C202" s="100" t="str">
        <f>IFERROR(__xludf.DUMMYFUNCTION("""COMPUTED_VALUE"""),"ABNER BENJAMIN VIEIRA DE ANDRADE")</f>
        <v>ABNER BENJAMIN VIEIRA DE ANDRADE</v>
      </c>
      <c r="D202" s="100" t="str">
        <f>IFERROR(__xludf.DUMMYFUNCTION("""COMPUTED_VALUE"""),"04/10/2024")</f>
        <v>04/10/2024</v>
      </c>
      <c r="E202" s="100" t="str">
        <f>IFERROR(__xludf.DUMMYFUNCTION("""COMPUTED_VALUE"""),"004.488.584-95")</f>
        <v>004.488.584-95</v>
      </c>
      <c r="F202" s="100" t="str">
        <f>IFERROR(__xludf.DUMMYFUNCTION("""COMPUTED_VALUE"""),"INFANTIL 1")</f>
        <v>INFANTIL 1</v>
      </c>
      <c r="G202" s="100" t="str">
        <f>IFERROR(__xludf.DUMMYFUNCTION("""COMPUTED_VALUE"""),"CRECHE MERCIA DE ALBUQUERQUE")</f>
        <v>CRECHE MERCIA DE ALBUQUERQUE</v>
      </c>
      <c r="H202" s="100" t="str">
        <f>IFERROR(__xludf.DUMMYFUNCTION("""COMPUTED_VALUE"""),"REGIONAL 6")</f>
        <v>REGIONAL 6</v>
      </c>
      <c r="I202" s="100"/>
      <c r="J202" s="100"/>
      <c r="K202" s="100"/>
      <c r="L202" s="100"/>
      <c r="M202" s="100"/>
      <c r="N202" s="100"/>
      <c r="O202" s="100"/>
      <c r="P202" s="100"/>
      <c r="Q202" s="100"/>
      <c r="R202" s="100"/>
      <c r="S202" s="100"/>
      <c r="T202" s="100"/>
      <c r="U202" s="100"/>
      <c r="V202" s="100"/>
      <c r="W202" s="100"/>
      <c r="X202" s="100"/>
      <c r="Y202" s="100"/>
      <c r="Z202" s="100"/>
    </row>
    <row r="203" ht="15.75" customHeight="1" spans="1:26">
      <c r="A203" s="100" t="str">
        <f>IFERROR(__xludf.DUMMYFUNCTION("""COMPUTED_VALUE"""),"04/05/2026 08:16:27")</f>
        <v>04/05/2026 08:16:27</v>
      </c>
      <c r="B203" s="101" t="str">
        <f>IFERROR(__xludf.DUMMYFUNCTION("""COMPUTED_VALUE"""),"5")</f>
        <v>5</v>
      </c>
      <c r="C203" s="100" t="str">
        <f>IFERROR(__xludf.DUMMYFUNCTION("""COMPUTED_VALUE"""),"KAIC CAINAN TOBIAS LEITE BOMFIM")</f>
        <v>KAIC CAINAN TOBIAS LEITE BOMFIM</v>
      </c>
      <c r="D203" s="100" t="str">
        <f>IFERROR(__xludf.DUMMYFUNCTION("""COMPUTED_VALUE"""),"24/08/2024")</f>
        <v>24/08/2024</v>
      </c>
      <c r="E203" s="100" t="str">
        <f>IFERROR(__xludf.DUMMYFUNCTION("""COMPUTED_VALUE"""),"003.941.314-44")</f>
        <v>003.941.314-44</v>
      </c>
      <c r="F203" s="100" t="str">
        <f>IFERROR(__xludf.DUMMYFUNCTION("""COMPUTED_VALUE"""),"INFANTIL 1")</f>
        <v>INFANTIL 1</v>
      </c>
      <c r="G203" s="100" t="str">
        <f>IFERROR(__xludf.DUMMYFUNCTION("""COMPUTED_VALUE"""),"CRECHE MERCIA DE ALBUQUERQUE")</f>
        <v>CRECHE MERCIA DE ALBUQUERQUE</v>
      </c>
      <c r="H203" s="100" t="str">
        <f>IFERROR(__xludf.DUMMYFUNCTION("""COMPUTED_VALUE"""),"REGIONAL 6")</f>
        <v>REGIONAL 6</v>
      </c>
      <c r="I203" s="100"/>
      <c r="J203" s="100"/>
      <c r="K203" s="100"/>
      <c r="L203" s="100"/>
      <c r="M203" s="100"/>
      <c r="N203" s="100"/>
      <c r="O203" s="100"/>
      <c r="P203" s="100"/>
      <c r="Q203" s="100"/>
      <c r="R203" s="100"/>
      <c r="S203" s="100"/>
      <c r="T203" s="100"/>
      <c r="U203" s="100"/>
      <c r="V203" s="100"/>
      <c r="W203" s="100"/>
      <c r="X203" s="100"/>
      <c r="Y203" s="100"/>
      <c r="Z203" s="100"/>
    </row>
    <row r="204" ht="15.75" customHeight="1" spans="1:26">
      <c r="A204" s="100" t="str">
        <f>IFERROR(__xludf.DUMMYFUNCTION("""COMPUTED_VALUE"""),"21/05/2026 14:53:13")</f>
        <v>21/05/2026 14:53:13</v>
      </c>
      <c r="B204" s="101" t="str">
        <f>IFERROR(__xludf.DUMMYFUNCTION("""COMPUTED_VALUE"""),"6")</f>
        <v>6</v>
      </c>
      <c r="C204" s="100" t="str">
        <f>IFERROR(__xludf.DUMMYFUNCTION("""COMPUTED_VALUE"""),"Erick Paes de Melo Ferreira")</f>
        <v>Erick Paes de Melo Ferreira</v>
      </c>
      <c r="D204" s="100" t="str">
        <f>IFERROR(__xludf.DUMMYFUNCTION("""COMPUTED_VALUE"""),"30/12/2025")</f>
        <v>30/12/2025</v>
      </c>
      <c r="E204" s="100" t="str">
        <f>IFERROR(__xludf.DUMMYFUNCTION("""COMPUTED_VALUE"""),"034.993.594-72")</f>
        <v>034.993.594-72</v>
      </c>
      <c r="F204" s="100" t="str">
        <f>IFERROR(__xludf.DUMMYFUNCTION("""COMPUTED_VALUE"""),"INFANTIL 1")</f>
        <v>INFANTIL 1</v>
      </c>
      <c r="G204" s="100" t="str">
        <f>IFERROR(__xludf.DUMMYFUNCTION("""COMPUTED_VALUE"""),"CRECHE MERCIA DE ALBUQUERQUE")</f>
        <v>CRECHE MERCIA DE ALBUQUERQUE</v>
      </c>
      <c r="H204" s="100" t="str">
        <f>IFERROR(__xludf.DUMMYFUNCTION("""COMPUTED_VALUE"""),"REGIONAL 6")</f>
        <v>REGIONAL 6</v>
      </c>
      <c r="I204" s="100"/>
      <c r="J204" s="100"/>
      <c r="K204" s="100"/>
      <c r="L204" s="100"/>
      <c r="M204" s="100"/>
      <c r="N204" s="100"/>
      <c r="O204" s="100"/>
      <c r="P204" s="100"/>
      <c r="Q204" s="100"/>
      <c r="R204" s="100"/>
      <c r="S204" s="100"/>
      <c r="T204" s="100"/>
      <c r="U204" s="100"/>
      <c r="V204" s="100"/>
      <c r="W204" s="100"/>
      <c r="X204" s="100"/>
      <c r="Y204" s="100"/>
      <c r="Z204" s="100"/>
    </row>
    <row r="205" ht="15.75" customHeight="1" spans="1:26">
      <c r="A205" s="100" t="str">
        <f>IFERROR(__xludf.DUMMYFUNCTION("""COMPUTED_VALUE"""),"30/01/2026 10:49:18")</f>
        <v>30/01/2026 10:49:18</v>
      </c>
      <c r="B205" s="101" t="str">
        <f>IFERROR(__xludf.DUMMYFUNCTION("""COMPUTED_VALUE"""),"1")</f>
        <v>1</v>
      </c>
      <c r="C205" s="100" t="str">
        <f>IFERROR(__xludf.DUMMYFUNCTION("""COMPUTED_VALUE"""),"ELIZABETH CAVALCANTI")</f>
        <v>ELIZABETH CAVALCANTI</v>
      </c>
      <c r="D205" s="100" t="str">
        <f>IFERROR(__xludf.DUMMYFUNCTION("""COMPUTED_VALUE"""),"25/09/2023")</f>
        <v>25/09/2023</v>
      </c>
      <c r="E205" s="100" t="str">
        <f>IFERROR(__xludf.DUMMYFUNCTION("""COMPUTED_VALUE"""),"002.874.654-62")</f>
        <v>002.874.654-62</v>
      </c>
      <c r="F205" s="100" t="str">
        <f>IFERROR(__xludf.DUMMYFUNCTION("""COMPUTED_VALUE"""),"INFANTIL 2")</f>
        <v>INFANTIL 2</v>
      </c>
      <c r="G205" s="100" t="str">
        <f>IFERROR(__xludf.DUMMYFUNCTION("""COMPUTED_VALUE"""),"CRECHE MERCIA DE ALBUQUERQUE")</f>
        <v>CRECHE MERCIA DE ALBUQUERQUE</v>
      </c>
      <c r="H205" s="100" t="str">
        <f>IFERROR(__xludf.DUMMYFUNCTION("""COMPUTED_VALUE"""),"REGIONAL 6")</f>
        <v>REGIONAL 6</v>
      </c>
      <c r="I205" s="100"/>
      <c r="J205" s="100"/>
      <c r="K205" s="100"/>
      <c r="L205" s="100"/>
      <c r="M205" s="100"/>
      <c r="N205" s="100"/>
      <c r="O205" s="100"/>
      <c r="P205" s="100"/>
      <c r="Q205" s="100"/>
      <c r="R205" s="100"/>
      <c r="S205" s="100"/>
      <c r="T205" s="100"/>
      <c r="U205" s="100"/>
      <c r="V205" s="100"/>
      <c r="W205" s="100"/>
      <c r="X205" s="100"/>
      <c r="Y205" s="100"/>
      <c r="Z205" s="100"/>
    </row>
    <row r="206" ht="15.75" customHeight="1" spans="1:26">
      <c r="A206" s="100" t="str">
        <f>IFERROR(__xludf.DUMMYFUNCTION("""COMPUTED_VALUE"""),"02/03/2026 15:50:23")</f>
        <v>02/03/2026 15:50:23</v>
      </c>
      <c r="B206" s="101" t="str">
        <f>IFERROR(__xludf.DUMMYFUNCTION("""COMPUTED_VALUE"""),"2")</f>
        <v>2</v>
      </c>
      <c r="C206" s="100" t="str">
        <f>IFERROR(__xludf.DUMMYFUNCTION("""COMPUTED_VALUE"""),"JOSÉ HENRIQUE DA SILVA FILHO")</f>
        <v>JOSÉ HENRIQUE DA SILVA FILHO</v>
      </c>
      <c r="D206" s="100" t="str">
        <f>IFERROR(__xludf.DUMMYFUNCTION("""COMPUTED_VALUE"""),"25/07/2023")</f>
        <v>25/07/2023</v>
      </c>
      <c r="E206" s="100" t="str">
        <f>IFERROR(__xludf.DUMMYFUNCTION("""COMPUTED_VALUE"""),"186.055.224-29")</f>
        <v>186.055.224-29</v>
      </c>
      <c r="F206" s="100" t="str">
        <f>IFERROR(__xludf.DUMMYFUNCTION("""COMPUTED_VALUE"""),"INFANTIL 2")</f>
        <v>INFANTIL 2</v>
      </c>
      <c r="G206" s="100" t="str">
        <f>IFERROR(__xludf.DUMMYFUNCTION("""COMPUTED_VALUE"""),"CRECHE MERCIA DE ALBUQUERQUE")</f>
        <v>CRECHE MERCIA DE ALBUQUERQUE</v>
      </c>
      <c r="H206" s="100" t="str">
        <f>IFERROR(__xludf.DUMMYFUNCTION("""COMPUTED_VALUE"""),"REGIONAL 6")</f>
        <v>REGIONAL 6</v>
      </c>
      <c r="I206" s="100"/>
      <c r="J206" s="100"/>
      <c r="K206" s="100"/>
      <c r="L206" s="100"/>
      <c r="M206" s="100"/>
      <c r="N206" s="100"/>
      <c r="O206" s="100"/>
      <c r="P206" s="100"/>
      <c r="Q206" s="100"/>
      <c r="R206" s="100"/>
      <c r="S206" s="100"/>
      <c r="T206" s="100"/>
      <c r="U206" s="100"/>
      <c r="V206" s="100"/>
      <c r="W206" s="100"/>
      <c r="X206" s="100"/>
      <c r="Y206" s="100"/>
      <c r="Z206" s="100"/>
    </row>
    <row r="207" ht="15.75" customHeight="1" spans="1:26">
      <c r="A207" s="100" t="str">
        <f>IFERROR(__xludf.DUMMYFUNCTION("""COMPUTED_VALUE"""),"11/03/2026 07:47:14")</f>
        <v>11/03/2026 07:47:14</v>
      </c>
      <c r="B207" s="101" t="str">
        <f>IFERROR(__xludf.DUMMYFUNCTION("""COMPUTED_VALUE"""),"3")</f>
        <v>3</v>
      </c>
      <c r="C207" s="100" t="str">
        <f>IFERROR(__xludf.DUMMYFUNCTION("""COMPUTED_VALUE"""),"THEO DAVI BARBOSA DA SILVA")</f>
        <v>THEO DAVI BARBOSA DA SILVA</v>
      </c>
      <c r="D207" s="100" t="str">
        <f>IFERROR(__xludf.DUMMYFUNCTION("""COMPUTED_VALUE"""),"22/09/2023")</f>
        <v>22/09/2023</v>
      </c>
      <c r="E207" s="100" t="str">
        <f>IFERROR(__xludf.DUMMYFUNCTION("""COMPUTED_VALUE"""),"000.011.754-40")</f>
        <v>000.011.754-40</v>
      </c>
      <c r="F207" s="100" t="str">
        <f>IFERROR(__xludf.DUMMYFUNCTION("""COMPUTED_VALUE"""),"INFANTIL 2")</f>
        <v>INFANTIL 2</v>
      </c>
      <c r="G207" s="100" t="str">
        <f>IFERROR(__xludf.DUMMYFUNCTION("""COMPUTED_VALUE"""),"CRECHE MERCIA DE ALBUQUERQUE")</f>
        <v>CRECHE MERCIA DE ALBUQUERQUE</v>
      </c>
      <c r="H207" s="100" t="str">
        <f>IFERROR(__xludf.DUMMYFUNCTION("""COMPUTED_VALUE"""),"REGIONAL 6")</f>
        <v>REGIONAL 6</v>
      </c>
      <c r="I207" s="100"/>
      <c r="J207" s="100"/>
      <c r="K207" s="100"/>
      <c r="L207" s="100"/>
      <c r="M207" s="100"/>
      <c r="N207" s="100"/>
      <c r="O207" s="100"/>
      <c r="P207" s="100"/>
      <c r="Q207" s="100"/>
      <c r="R207" s="100"/>
      <c r="S207" s="100"/>
      <c r="T207" s="100"/>
      <c r="U207" s="100"/>
      <c r="V207" s="100"/>
      <c r="W207" s="100"/>
      <c r="X207" s="100"/>
      <c r="Y207" s="100"/>
      <c r="Z207" s="100"/>
    </row>
    <row r="208" ht="15.75" customHeight="1" spans="1:26">
      <c r="A208" s="100" t="str">
        <f>IFERROR(__xludf.DUMMYFUNCTION("""COMPUTED_VALUE"""),"25/03/2026 13:04:37")</f>
        <v>25/03/2026 13:04:37</v>
      </c>
      <c r="B208" s="101" t="str">
        <f>IFERROR(__xludf.DUMMYFUNCTION("""COMPUTED_VALUE"""),"4")</f>
        <v>4</v>
      </c>
      <c r="C208" s="100" t="str">
        <f>IFERROR(__xludf.DUMMYFUNCTION("""COMPUTED_VALUE"""),"BERNARDO LEON SILVA DOS SANTOS")</f>
        <v>BERNARDO LEON SILVA DOS SANTOS</v>
      </c>
      <c r="D208" s="100" t="str">
        <f>IFERROR(__xludf.DUMMYFUNCTION("""COMPUTED_VALUE"""),"14/10/2023")</f>
        <v>14/10/2023</v>
      </c>
      <c r="E208" s="100" t="str">
        <f>IFERROR(__xludf.DUMMYFUNCTION("""COMPUTED_VALUE"""),"000.490.714-08")</f>
        <v>000.490.714-08</v>
      </c>
      <c r="F208" s="100" t="str">
        <f>IFERROR(__xludf.DUMMYFUNCTION("""COMPUTED_VALUE"""),"INFANTIL 2")</f>
        <v>INFANTIL 2</v>
      </c>
      <c r="G208" s="100" t="str">
        <f>IFERROR(__xludf.DUMMYFUNCTION("""COMPUTED_VALUE"""),"CRECHE MERCIA DE ALBUQUERQUE")</f>
        <v>CRECHE MERCIA DE ALBUQUERQUE</v>
      </c>
      <c r="H208" s="100" t="str">
        <f>IFERROR(__xludf.DUMMYFUNCTION("""COMPUTED_VALUE"""),"REGIONAL 6")</f>
        <v>REGIONAL 6</v>
      </c>
      <c r="I208" s="100"/>
      <c r="J208" s="100"/>
      <c r="K208" s="100"/>
      <c r="L208" s="100"/>
      <c r="M208" s="100"/>
      <c r="N208" s="100"/>
      <c r="O208" s="100"/>
      <c r="P208" s="100"/>
      <c r="Q208" s="100"/>
      <c r="R208" s="100"/>
      <c r="S208" s="100"/>
      <c r="T208" s="100"/>
      <c r="U208" s="100"/>
      <c r="V208" s="100"/>
      <c r="W208" s="100"/>
      <c r="X208" s="100"/>
      <c r="Y208" s="100"/>
      <c r="Z208" s="100"/>
    </row>
    <row r="209" ht="15.75" customHeight="1" spans="1:26">
      <c r="A209" s="100" t="str">
        <f>IFERROR(__xludf.DUMMYFUNCTION("""COMPUTED_VALUE"""),"29/01/2026 13:35:30")</f>
        <v>29/01/2026 13:35:30</v>
      </c>
      <c r="B209" s="101" t="str">
        <f>IFERROR(__xludf.DUMMYFUNCTION("""COMPUTED_VALUE"""),"1")</f>
        <v>1</v>
      </c>
      <c r="C209" s="100" t="str">
        <f>IFERROR(__xludf.DUMMYFUNCTION("""COMPUTED_VALUE"""),"JOÃO DAVI DOS SANTOS")</f>
        <v>JOÃO DAVI DOS SANTOS</v>
      </c>
      <c r="D209" s="100" t="str">
        <f>IFERROR(__xludf.DUMMYFUNCTION("""COMPUTED_VALUE"""),"26/08/2024")</f>
        <v>26/08/2024</v>
      </c>
      <c r="E209" s="100" t="str">
        <f>IFERROR(__xludf.DUMMYFUNCTION("""COMPUTED_VALUE"""),"003.980.624-39")</f>
        <v>003.980.624-39</v>
      </c>
      <c r="F209" s="100" t="str">
        <f>IFERROR(__xludf.DUMMYFUNCTION("""COMPUTED_VALUE"""),"INFANTIL 1")</f>
        <v>INFANTIL 1</v>
      </c>
      <c r="G209" s="100" t="str">
        <f>IFERROR(__xludf.DUMMYFUNCTION("""COMPUTED_VALUE"""),"CRECHE MUNDO ENCANTADO")</f>
        <v>CRECHE MUNDO ENCANTADO</v>
      </c>
      <c r="H209" s="100" t="str">
        <f>IFERROR(__xludf.DUMMYFUNCTION("""COMPUTED_VALUE"""),"REGIONAL 3")</f>
        <v>REGIONAL 3</v>
      </c>
      <c r="I209" s="100"/>
      <c r="J209" s="100"/>
      <c r="K209" s="100"/>
      <c r="L209" s="100"/>
      <c r="M209" s="100"/>
      <c r="N209" s="100"/>
      <c r="O209" s="100"/>
      <c r="P209" s="100"/>
      <c r="Q209" s="100"/>
      <c r="R209" s="100"/>
      <c r="S209" s="100"/>
      <c r="T209" s="100"/>
      <c r="U209" s="100"/>
      <c r="V209" s="100"/>
      <c r="W209" s="100"/>
      <c r="X209" s="100"/>
      <c r="Y209" s="100"/>
      <c r="Z209" s="100"/>
    </row>
    <row r="210" ht="15.75" customHeight="1" spans="1:26">
      <c r="A210" s="100" t="str">
        <f>IFERROR(__xludf.DUMMYFUNCTION("""COMPUTED_VALUE"""),"29/01/2026 14:12:29")</f>
        <v>29/01/2026 14:12:29</v>
      </c>
      <c r="B210" s="101" t="str">
        <f>IFERROR(__xludf.DUMMYFUNCTION("""COMPUTED_VALUE"""),"2")</f>
        <v>2</v>
      </c>
      <c r="C210" s="100" t="str">
        <f>IFERROR(__xludf.DUMMYFUNCTION("""COMPUTED_VALUE"""),"JOSÉ FLÁVIO BATISTA DA SILVA COSTA")</f>
        <v>JOSÉ FLÁVIO BATISTA DA SILVA COSTA</v>
      </c>
      <c r="D210" s="100" t="str">
        <f>IFERROR(__xludf.DUMMYFUNCTION("""COMPUTED_VALUE"""),"13/03/2025")</f>
        <v>13/03/2025</v>
      </c>
      <c r="E210" s="100" t="str">
        <f>IFERROR(__xludf.DUMMYFUNCTION("""COMPUTED_VALUE"""),"006.104.144-02")</f>
        <v>006.104.144-02</v>
      </c>
      <c r="F210" s="100" t="str">
        <f>IFERROR(__xludf.DUMMYFUNCTION("""COMPUTED_VALUE"""),"INFANTIL 1")</f>
        <v>INFANTIL 1</v>
      </c>
      <c r="G210" s="100" t="str">
        <f>IFERROR(__xludf.DUMMYFUNCTION("""COMPUTED_VALUE"""),"CRECHE MUNDO ENCANTADO")</f>
        <v>CRECHE MUNDO ENCANTADO</v>
      </c>
      <c r="H210" s="100" t="str">
        <f>IFERROR(__xludf.DUMMYFUNCTION("""COMPUTED_VALUE"""),"REGIONAL 3")</f>
        <v>REGIONAL 3</v>
      </c>
      <c r="I210" s="100"/>
      <c r="J210" s="100"/>
      <c r="K210" s="100"/>
      <c r="L210" s="100"/>
      <c r="M210" s="100"/>
      <c r="N210" s="100"/>
      <c r="O210" s="100"/>
      <c r="P210" s="100"/>
      <c r="Q210" s="100"/>
      <c r="R210" s="100"/>
      <c r="S210" s="100"/>
      <c r="T210" s="100"/>
      <c r="U210" s="100"/>
      <c r="V210" s="100"/>
      <c r="W210" s="100"/>
      <c r="X210" s="100"/>
      <c r="Y210" s="100"/>
      <c r="Z210" s="100"/>
    </row>
    <row r="211" ht="15.75" customHeight="1" spans="1:26">
      <c r="A211" s="100" t="str">
        <f>IFERROR(__xludf.DUMMYFUNCTION("""COMPUTED_VALUE"""),"19/02/2026 21:16:01")</f>
        <v>19/02/2026 21:16:01</v>
      </c>
      <c r="B211" s="101" t="str">
        <f>IFERROR(__xludf.DUMMYFUNCTION("""COMPUTED_VALUE"""),"3")</f>
        <v>3</v>
      </c>
      <c r="C211" s="100" t="str">
        <f>IFERROR(__xludf.DUMMYFUNCTION("""COMPUTED_VALUE"""),"HELENA AZEVEDO DA SILVA")</f>
        <v>HELENA AZEVEDO DA SILVA</v>
      </c>
      <c r="D211" s="100" t="str">
        <f>IFERROR(__xludf.DUMMYFUNCTION("""COMPUTED_VALUE"""),"19/05/2024")</f>
        <v>19/05/2024</v>
      </c>
      <c r="E211" s="100" t="str">
        <f>IFERROR(__xludf.DUMMYFUNCTION("""COMPUTED_VALUE"""),"003.112.504-24")</f>
        <v>003.112.504-24</v>
      </c>
      <c r="F211" s="100" t="str">
        <f>IFERROR(__xludf.DUMMYFUNCTION("""COMPUTED_VALUE"""),"INFANTIL 1")</f>
        <v>INFANTIL 1</v>
      </c>
      <c r="G211" s="100" t="str">
        <f>IFERROR(__xludf.DUMMYFUNCTION("""COMPUTED_VALUE"""),"CRECHE MUNDO ENCANTADO")</f>
        <v>CRECHE MUNDO ENCANTADO</v>
      </c>
      <c r="H211" s="100" t="str">
        <f>IFERROR(__xludf.DUMMYFUNCTION("""COMPUTED_VALUE"""),"REGIONAL 3")</f>
        <v>REGIONAL 3</v>
      </c>
      <c r="I211" s="100"/>
      <c r="J211" s="100"/>
      <c r="K211" s="100"/>
      <c r="L211" s="100"/>
      <c r="M211" s="100"/>
      <c r="N211" s="100"/>
      <c r="O211" s="100"/>
      <c r="P211" s="100"/>
      <c r="Q211" s="100"/>
      <c r="R211" s="100"/>
      <c r="S211" s="100"/>
      <c r="T211" s="100"/>
      <c r="U211" s="100"/>
      <c r="V211" s="100"/>
      <c r="W211" s="100"/>
      <c r="X211" s="100"/>
      <c r="Y211" s="100"/>
      <c r="Z211" s="100"/>
    </row>
    <row r="212" ht="15.75" customHeight="1" spans="1:26">
      <c r="A212" s="100" t="str">
        <f>IFERROR(__xludf.DUMMYFUNCTION("""COMPUTED_VALUE"""),"28/02/2026 20:58:43")</f>
        <v>28/02/2026 20:58:43</v>
      </c>
      <c r="B212" s="101" t="str">
        <f>IFERROR(__xludf.DUMMYFUNCTION("""COMPUTED_VALUE"""),"4")</f>
        <v>4</v>
      </c>
      <c r="C212" s="100" t="str">
        <f>IFERROR(__xludf.DUMMYFUNCTION("""COMPUTED_VALUE"""),"LAYANNE GOMES PAULINO DA SILVA")</f>
        <v>LAYANNE GOMES PAULINO DA SILVA</v>
      </c>
      <c r="D212" s="100" t="str">
        <f>IFERROR(__xludf.DUMMYFUNCTION("""COMPUTED_VALUE"""),"12/04/2025")</f>
        <v>12/04/2025</v>
      </c>
      <c r="E212" s="100" t="str">
        <f>IFERROR(__xludf.DUMMYFUNCTION("""COMPUTED_VALUE"""),"005.882.074-46")</f>
        <v>005.882.074-46</v>
      </c>
      <c r="F212" s="100" t="str">
        <f>IFERROR(__xludf.DUMMYFUNCTION("""COMPUTED_VALUE"""),"INFANTIL 1")</f>
        <v>INFANTIL 1</v>
      </c>
      <c r="G212" s="100" t="str">
        <f>IFERROR(__xludf.DUMMYFUNCTION("""COMPUTED_VALUE"""),"CRECHE MUNDO ENCANTADO")</f>
        <v>CRECHE MUNDO ENCANTADO</v>
      </c>
      <c r="H212" s="100" t="str">
        <f>IFERROR(__xludf.DUMMYFUNCTION("""COMPUTED_VALUE"""),"REGIONAL 3")</f>
        <v>REGIONAL 3</v>
      </c>
      <c r="I212" s="100"/>
      <c r="J212" s="100"/>
      <c r="K212" s="100"/>
      <c r="L212" s="100"/>
      <c r="M212" s="100"/>
      <c r="N212" s="100"/>
      <c r="O212" s="100"/>
      <c r="P212" s="100"/>
      <c r="Q212" s="100"/>
      <c r="R212" s="100"/>
      <c r="S212" s="100"/>
      <c r="T212" s="100"/>
      <c r="U212" s="100"/>
      <c r="V212" s="100"/>
      <c r="W212" s="100"/>
      <c r="X212" s="100"/>
      <c r="Y212" s="100"/>
      <c r="Z212" s="100"/>
    </row>
    <row r="213" ht="15.75" customHeight="1" spans="1:26">
      <c r="A213" s="100" t="str">
        <f>IFERROR(__xludf.DUMMYFUNCTION("""COMPUTED_VALUE"""),"28/04/2026 11:00:10")</f>
        <v>28/04/2026 11:00:10</v>
      </c>
      <c r="B213" s="101" t="str">
        <f>IFERROR(__xludf.DUMMYFUNCTION("""COMPUTED_VALUE"""),"5")</f>
        <v>5</v>
      </c>
      <c r="C213" s="100" t="str">
        <f>IFERROR(__xludf.DUMMYFUNCTION("""COMPUTED_VALUE"""),"MARINA GOMES SANTOS GUIMARAES")</f>
        <v>MARINA GOMES SANTOS GUIMARAES</v>
      </c>
      <c r="D213" s="100" t="str">
        <f>IFERROR(__xludf.DUMMYFUNCTION("""COMPUTED_VALUE"""),"11/04/2025")</f>
        <v>11/04/2025</v>
      </c>
      <c r="E213" s="100" t="str">
        <f>IFERROR(__xludf.DUMMYFUNCTION("""COMPUTED_VALUE"""),"005.894.784-19")</f>
        <v>005.894.784-19</v>
      </c>
      <c r="F213" s="100" t="str">
        <f>IFERROR(__xludf.DUMMYFUNCTION("""COMPUTED_VALUE"""),"INFANTIL 1")</f>
        <v>INFANTIL 1</v>
      </c>
      <c r="G213" s="100" t="str">
        <f>IFERROR(__xludf.DUMMYFUNCTION("""COMPUTED_VALUE"""),"CRECHE MUNDO ENCANTADO")</f>
        <v>CRECHE MUNDO ENCANTADO</v>
      </c>
      <c r="H213" s="100" t="str">
        <f>IFERROR(__xludf.DUMMYFUNCTION("""COMPUTED_VALUE"""),"REGIONAL 3")</f>
        <v>REGIONAL 3</v>
      </c>
      <c r="I213" s="100"/>
      <c r="J213" s="100"/>
      <c r="K213" s="100"/>
      <c r="L213" s="100"/>
      <c r="M213" s="100"/>
      <c r="N213" s="100"/>
      <c r="O213" s="100"/>
      <c r="P213" s="100"/>
      <c r="Q213" s="100"/>
      <c r="R213" s="100"/>
      <c r="S213" s="100"/>
      <c r="T213" s="100"/>
      <c r="U213" s="100"/>
      <c r="V213" s="100"/>
      <c r="W213" s="100"/>
      <c r="X213" s="100"/>
      <c r="Y213" s="100"/>
      <c r="Z213" s="100"/>
    </row>
    <row r="214" ht="15.75" customHeight="1" spans="1:26">
      <c r="A214" s="100" t="str">
        <f>IFERROR(__xludf.DUMMYFUNCTION("""COMPUTED_VALUE"""),"25/05/2026 18:39:15")</f>
        <v>25/05/2026 18:39:15</v>
      </c>
      <c r="B214" s="101" t="str">
        <f>IFERROR(__xludf.DUMMYFUNCTION("""COMPUTED_VALUE"""),"6")</f>
        <v>6</v>
      </c>
      <c r="C214" s="100" t="str">
        <f>IFERROR(__xludf.DUMMYFUNCTION("""COMPUTED_VALUE"""),"Mallu Yarin Rodrigues Macêdo Vaz")</f>
        <v>Mallu Yarin Rodrigues Macêdo Vaz</v>
      </c>
      <c r="D214" s="100" t="str">
        <f>IFERROR(__xludf.DUMMYFUNCTION("""COMPUTED_VALUE"""),"29/12/2024")</f>
        <v>29/12/2024</v>
      </c>
      <c r="E214" s="100" t="str">
        <f>IFERROR(__xludf.DUMMYFUNCTION("""COMPUTED_VALUE"""),"004.957.764-67")</f>
        <v>004.957.764-67</v>
      </c>
      <c r="F214" s="100" t="str">
        <f>IFERROR(__xludf.DUMMYFUNCTION("""COMPUTED_VALUE"""),"INFANTIL 1")</f>
        <v>INFANTIL 1</v>
      </c>
      <c r="G214" s="100" t="str">
        <f>IFERROR(__xludf.DUMMYFUNCTION("""COMPUTED_VALUE"""),"CRECHE MUNDO ENCANTADO")</f>
        <v>CRECHE MUNDO ENCANTADO</v>
      </c>
      <c r="H214" s="100" t="str">
        <f>IFERROR(__xludf.DUMMYFUNCTION("""COMPUTED_VALUE"""),"REGIONAL 3")</f>
        <v>REGIONAL 3</v>
      </c>
      <c r="I214" s="100"/>
      <c r="J214" s="100"/>
      <c r="K214" s="100"/>
      <c r="L214" s="100"/>
      <c r="M214" s="100"/>
      <c r="N214" s="100"/>
      <c r="O214" s="100"/>
      <c r="P214" s="100"/>
      <c r="Q214" s="100"/>
      <c r="R214" s="100"/>
      <c r="S214" s="100"/>
      <c r="T214" s="100"/>
      <c r="U214" s="100"/>
      <c r="V214" s="100"/>
      <c r="W214" s="100"/>
      <c r="X214" s="100"/>
      <c r="Y214" s="100"/>
      <c r="Z214" s="100"/>
    </row>
    <row r="215" ht="15.75" customHeight="1" spans="1:26">
      <c r="A215" s="100" t="str">
        <f>IFERROR(__xludf.DUMMYFUNCTION("""COMPUTED_VALUE"""),"04/02/2026 15:08:15")</f>
        <v>04/02/2026 15:08:15</v>
      </c>
      <c r="B215" s="101" t="str">
        <f>IFERROR(__xludf.DUMMYFUNCTION("""COMPUTED_VALUE"""),"1")</f>
        <v>1</v>
      </c>
      <c r="C215" s="100" t="str">
        <f>IFERROR(__xludf.DUMMYFUNCTION("""COMPUTED_VALUE"""),"DAVID LUIZ DOS SANTOS DO NASCIMENTO")</f>
        <v>DAVID LUIZ DOS SANTOS DO NASCIMENTO</v>
      </c>
      <c r="D215" s="100" t="str">
        <f>IFERROR(__xludf.DUMMYFUNCTION("""COMPUTED_VALUE"""),"27/09/2023")</f>
        <v>27/09/2023</v>
      </c>
      <c r="E215" s="100" t="str">
        <f>IFERROR(__xludf.DUMMYFUNCTION("""COMPUTED_VALUE"""),"000.295.444-32")</f>
        <v>000.295.444-32</v>
      </c>
      <c r="F215" s="100" t="str">
        <f>IFERROR(__xludf.DUMMYFUNCTION("""COMPUTED_VALUE"""),"INFANTIL 2")</f>
        <v>INFANTIL 2</v>
      </c>
      <c r="G215" s="100" t="str">
        <f>IFERROR(__xludf.DUMMYFUNCTION("""COMPUTED_VALUE"""),"CRECHE MUNDO ENCANTADO")</f>
        <v>CRECHE MUNDO ENCANTADO</v>
      </c>
      <c r="H215" s="100" t="str">
        <f>IFERROR(__xludf.DUMMYFUNCTION("""COMPUTED_VALUE"""),"REGIONAL 3")</f>
        <v>REGIONAL 3</v>
      </c>
      <c r="I215" s="100"/>
      <c r="J215" s="100"/>
      <c r="K215" s="100"/>
      <c r="L215" s="100"/>
      <c r="M215" s="100"/>
      <c r="N215" s="100"/>
      <c r="O215" s="100"/>
      <c r="P215" s="100"/>
      <c r="Q215" s="100"/>
      <c r="R215" s="100"/>
      <c r="S215" s="100"/>
      <c r="T215" s="100"/>
      <c r="U215" s="100"/>
      <c r="V215" s="100"/>
      <c r="W215" s="100"/>
      <c r="X215" s="100"/>
      <c r="Y215" s="100"/>
      <c r="Z215" s="100"/>
    </row>
    <row r="216" ht="15.75" customHeight="1" spans="1:26">
      <c r="A216" s="100" t="str">
        <f>IFERROR(__xludf.DUMMYFUNCTION("""COMPUTED_VALUE"""),"09/02/2026 08:21:31")</f>
        <v>09/02/2026 08:21:31</v>
      </c>
      <c r="B216" s="101" t="str">
        <f>IFERROR(__xludf.DUMMYFUNCTION("""COMPUTED_VALUE"""),"2")</f>
        <v>2</v>
      </c>
      <c r="C216" s="100" t="str">
        <f>IFERROR(__xludf.DUMMYFUNCTION("""COMPUTED_VALUE"""),"ANTHONY PIETRO CRUZ DE SOUZA")</f>
        <v>ANTHONY PIETRO CRUZ DE SOUZA</v>
      </c>
      <c r="D216" s="100" t="str">
        <f>IFERROR(__xludf.DUMMYFUNCTION("""COMPUTED_VALUE"""),"16/12/2023")</f>
        <v>16/12/2023</v>
      </c>
      <c r="E216" s="100" t="str">
        <f>IFERROR(__xludf.DUMMYFUNCTION("""COMPUTED_VALUE"""),"001.353.124-77")</f>
        <v>001.353.124-77</v>
      </c>
      <c r="F216" s="100" t="str">
        <f>IFERROR(__xludf.DUMMYFUNCTION("""COMPUTED_VALUE"""),"INFANTIL 2")</f>
        <v>INFANTIL 2</v>
      </c>
      <c r="G216" s="100" t="str">
        <f>IFERROR(__xludf.DUMMYFUNCTION("""COMPUTED_VALUE"""),"CRECHE MUNDO ENCANTADO")</f>
        <v>CRECHE MUNDO ENCANTADO</v>
      </c>
      <c r="H216" s="100" t="str">
        <f>IFERROR(__xludf.DUMMYFUNCTION("""COMPUTED_VALUE"""),"REGIONAL 3")</f>
        <v>REGIONAL 3</v>
      </c>
      <c r="I216" s="100"/>
      <c r="J216" s="100"/>
      <c r="K216" s="100"/>
      <c r="L216" s="100"/>
      <c r="M216" s="100"/>
      <c r="N216" s="100"/>
      <c r="O216" s="100"/>
      <c r="P216" s="100"/>
      <c r="Q216" s="100"/>
      <c r="R216" s="100"/>
      <c r="S216" s="100"/>
      <c r="T216" s="100"/>
      <c r="U216" s="100"/>
      <c r="V216" s="100"/>
      <c r="W216" s="100"/>
      <c r="X216" s="100"/>
      <c r="Y216" s="100"/>
      <c r="Z216" s="100"/>
    </row>
    <row r="217" ht="15.75" customHeight="1" spans="1:26">
      <c r="A217" s="100" t="str">
        <f>IFERROR(__xludf.DUMMYFUNCTION("""COMPUTED_VALUE"""),"04/03/2026 22:04:48")</f>
        <v>04/03/2026 22:04:48</v>
      </c>
      <c r="B217" s="101" t="str">
        <f>IFERROR(__xludf.DUMMYFUNCTION("""COMPUTED_VALUE"""),"3")</f>
        <v>3</v>
      </c>
      <c r="C217" s="100" t="str">
        <f>IFERROR(__xludf.DUMMYFUNCTION("""COMPUTED_VALUE"""),"JOÃO LUCCA PEREIRA DA SILVA")</f>
        <v>JOÃO LUCCA PEREIRA DA SILVA</v>
      </c>
      <c r="D217" s="100" t="str">
        <f>IFERROR(__xludf.DUMMYFUNCTION("""COMPUTED_VALUE"""),"19/12/2023")</f>
        <v>19/12/2023</v>
      </c>
      <c r="E217" s="100" t="str">
        <f>IFERROR(__xludf.DUMMYFUNCTION("""COMPUTED_VALUE"""),"001.366.394-10")</f>
        <v>001.366.394-10</v>
      </c>
      <c r="F217" s="100" t="str">
        <f>IFERROR(__xludf.DUMMYFUNCTION("""COMPUTED_VALUE"""),"INFANTIL 2")</f>
        <v>INFANTIL 2</v>
      </c>
      <c r="G217" s="100" t="str">
        <f>IFERROR(__xludf.DUMMYFUNCTION("""COMPUTED_VALUE"""),"CRECHE MUNDO ENCANTADO")</f>
        <v>CRECHE MUNDO ENCANTADO</v>
      </c>
      <c r="H217" s="100" t="str">
        <f>IFERROR(__xludf.DUMMYFUNCTION("""COMPUTED_VALUE"""),"REGIONAL 3")</f>
        <v>REGIONAL 3</v>
      </c>
      <c r="I217" s="100"/>
      <c r="J217" s="100"/>
      <c r="K217" s="100"/>
      <c r="L217" s="100"/>
      <c r="M217" s="100"/>
      <c r="N217" s="100"/>
      <c r="O217" s="100"/>
      <c r="P217" s="100"/>
      <c r="Q217" s="100"/>
      <c r="R217" s="100"/>
      <c r="S217" s="100"/>
      <c r="T217" s="100"/>
      <c r="U217" s="100"/>
      <c r="V217" s="100"/>
      <c r="W217" s="100"/>
      <c r="X217" s="100"/>
      <c r="Y217" s="100"/>
      <c r="Z217" s="100"/>
    </row>
    <row r="218" ht="15.75" customHeight="1" spans="1:26">
      <c r="A218" s="100" t="str">
        <f>IFERROR(__xludf.DUMMYFUNCTION("""COMPUTED_VALUE"""),"23/02/2026 09:25:20")</f>
        <v>23/02/2026 09:25:20</v>
      </c>
      <c r="B218" s="101" t="str">
        <f>IFERROR(__xludf.DUMMYFUNCTION("""COMPUTED_VALUE"""),"1")</f>
        <v>1</v>
      </c>
      <c r="C218" s="100" t="str">
        <f>IFERROR(__xludf.DUMMYFUNCTION("""COMPUTED_VALUE"""),"LARISSA ELOÁ CALIXTO DE OLIVEIRA")</f>
        <v>LARISSA ELOÁ CALIXTO DE OLIVEIRA</v>
      </c>
      <c r="D218" s="100" t="str">
        <f>IFERROR(__xludf.DUMMYFUNCTION("""COMPUTED_VALUE"""),"08/07/2024")</f>
        <v>08/07/2024</v>
      </c>
      <c r="E218" s="100" t="str">
        <f>IFERROR(__xludf.DUMMYFUNCTION("""COMPUTED_VALUE"""),"003.536.674-55")</f>
        <v>003.536.674-55</v>
      </c>
      <c r="F218" s="100" t="str">
        <f>IFERROR(__xludf.DUMMYFUNCTION("""COMPUTED_VALUE"""),"INFANTIL 1")</f>
        <v>INFANTIL 1</v>
      </c>
      <c r="G218" s="100" t="str">
        <f>IFERROR(__xludf.DUMMYFUNCTION("""COMPUTED_VALUE"""),"CRECHE MUNICIPAL PROFESSORA MARIA RITA LINS MARTINS")</f>
        <v>CRECHE MUNICIPAL PROFESSORA MARIA RITA LINS MARTINS</v>
      </c>
      <c r="H218" s="100" t="str">
        <f>IFERROR(__xludf.DUMMYFUNCTION("""COMPUTED_VALUE"""),"REGIONAL 1")</f>
        <v>REGIONAL 1</v>
      </c>
      <c r="I218" s="100"/>
      <c r="J218" s="100"/>
      <c r="K218" s="100"/>
      <c r="L218" s="100"/>
      <c r="M218" s="100"/>
      <c r="N218" s="100"/>
      <c r="O218" s="100"/>
      <c r="P218" s="100"/>
      <c r="Q218" s="100"/>
      <c r="R218" s="100"/>
      <c r="S218" s="100"/>
      <c r="T218" s="100"/>
      <c r="U218" s="100"/>
      <c r="V218" s="100"/>
      <c r="W218" s="100"/>
      <c r="X218" s="100"/>
      <c r="Y218" s="100"/>
      <c r="Z218" s="100"/>
    </row>
    <row r="219" ht="15.75" customHeight="1" spans="1:26">
      <c r="A219" s="100" t="str">
        <f>IFERROR(__xludf.DUMMYFUNCTION("""COMPUTED_VALUE"""),"23/02/2026 22:06:49")</f>
        <v>23/02/2026 22:06:49</v>
      </c>
      <c r="B219" s="101" t="str">
        <f>IFERROR(__xludf.DUMMYFUNCTION("""COMPUTED_VALUE"""),"2")</f>
        <v>2</v>
      </c>
      <c r="C219" s="100" t="str">
        <f>IFERROR(__xludf.DUMMYFUNCTION("""COMPUTED_VALUE"""),"BRYAN SAMUEL SANTANA DA SILVA")</f>
        <v>BRYAN SAMUEL SANTANA DA SILVA</v>
      </c>
      <c r="D219" s="100" t="str">
        <f>IFERROR(__xludf.DUMMYFUNCTION("""COMPUTED_VALUE"""),"13/09/2024")</f>
        <v>13/09/2024</v>
      </c>
      <c r="E219" s="100" t="str">
        <f>IFERROR(__xludf.DUMMYFUNCTION("""COMPUTED_VALUE"""),"004.324.334-73")</f>
        <v>004.324.334-73</v>
      </c>
      <c r="F219" s="100" t="str">
        <f>IFERROR(__xludf.DUMMYFUNCTION("""COMPUTED_VALUE"""),"INFANTIL 1")</f>
        <v>INFANTIL 1</v>
      </c>
      <c r="G219" s="100" t="str">
        <f>IFERROR(__xludf.DUMMYFUNCTION("""COMPUTED_VALUE"""),"CRECHE MUNICIPAL PROFESSORA MARIA RITA LINS MARTINS")</f>
        <v>CRECHE MUNICIPAL PROFESSORA MARIA RITA LINS MARTINS</v>
      </c>
      <c r="H219" s="100" t="str">
        <f>IFERROR(__xludf.DUMMYFUNCTION("""COMPUTED_VALUE"""),"REGIONAL 1")</f>
        <v>REGIONAL 1</v>
      </c>
      <c r="I219" s="100"/>
      <c r="J219" s="100"/>
      <c r="K219" s="100"/>
      <c r="L219" s="100"/>
      <c r="M219" s="100"/>
      <c r="N219" s="100"/>
      <c r="O219" s="100"/>
      <c r="P219" s="100"/>
      <c r="Q219" s="100"/>
      <c r="R219" s="100"/>
      <c r="S219" s="100"/>
      <c r="T219" s="100"/>
      <c r="U219" s="100"/>
      <c r="V219" s="100"/>
      <c r="W219" s="100"/>
      <c r="X219" s="100"/>
      <c r="Y219" s="100"/>
      <c r="Z219" s="100"/>
    </row>
    <row r="220" ht="15.75" customHeight="1" spans="1:26">
      <c r="A220" s="100" t="str">
        <f>IFERROR(__xludf.DUMMYFUNCTION("""COMPUTED_VALUE"""),"24/02/2026 10:47:32")</f>
        <v>24/02/2026 10:47:32</v>
      </c>
      <c r="B220" s="101" t="str">
        <f>IFERROR(__xludf.DUMMYFUNCTION("""COMPUTED_VALUE"""),"3")</f>
        <v>3</v>
      </c>
      <c r="C220" s="100" t="str">
        <f>IFERROR(__xludf.DUMMYFUNCTION("""COMPUTED_VALUE"""),"MARIA HELOÍSA DA SILVA MENEZES")</f>
        <v>MARIA HELOÍSA DA SILVA MENEZES</v>
      </c>
      <c r="D220" s="100" t="str">
        <f>IFERROR(__xludf.DUMMYFUNCTION("""COMPUTED_VALUE"""),"17/08/2024")</f>
        <v>17/08/2024</v>
      </c>
      <c r="E220" s="100" t="str">
        <f>IFERROR(__xludf.DUMMYFUNCTION("""COMPUTED_VALUE"""),"003.847.404-21")</f>
        <v>003.847.404-21</v>
      </c>
      <c r="F220" s="100" t="str">
        <f>IFERROR(__xludf.DUMMYFUNCTION("""COMPUTED_VALUE"""),"INFANTIL 1")</f>
        <v>INFANTIL 1</v>
      </c>
      <c r="G220" s="100" t="str">
        <f>IFERROR(__xludf.DUMMYFUNCTION("""COMPUTED_VALUE"""),"CRECHE MUNICIPAL PROFESSORA MARIA RITA LINS MARTINS")</f>
        <v>CRECHE MUNICIPAL PROFESSORA MARIA RITA LINS MARTINS</v>
      </c>
      <c r="H220" s="100" t="str">
        <f>IFERROR(__xludf.DUMMYFUNCTION("""COMPUTED_VALUE"""),"REGIONAL 1")</f>
        <v>REGIONAL 1</v>
      </c>
      <c r="I220" s="100"/>
      <c r="J220" s="100"/>
      <c r="K220" s="100"/>
      <c r="L220" s="100"/>
      <c r="M220" s="100"/>
      <c r="N220" s="100"/>
      <c r="O220" s="100"/>
      <c r="P220" s="100"/>
      <c r="Q220" s="100"/>
      <c r="R220" s="100"/>
      <c r="S220" s="100"/>
      <c r="T220" s="100"/>
      <c r="U220" s="100"/>
      <c r="V220" s="100"/>
      <c r="W220" s="100"/>
      <c r="X220" s="100"/>
      <c r="Y220" s="100"/>
      <c r="Z220" s="100"/>
    </row>
    <row r="221" ht="15.75" customHeight="1" spans="1:26">
      <c r="A221" s="100" t="str">
        <f>IFERROR(__xludf.DUMMYFUNCTION("""COMPUTED_VALUE"""),"10/05/2026 13:51:20")</f>
        <v>10/05/2026 13:51:20</v>
      </c>
      <c r="B221" s="101" t="str">
        <f>IFERROR(__xludf.DUMMYFUNCTION("""COMPUTED_VALUE"""),"4")</f>
        <v>4</v>
      </c>
      <c r="C221" s="100" t="str">
        <f>IFERROR(__xludf.DUMMYFUNCTION("""COMPUTED_VALUE"""),"LUNA MAITÊ DA SILVA")</f>
        <v>LUNA MAITÊ DA SILVA</v>
      </c>
      <c r="D221" s="100" t="str">
        <f>IFERROR(__xludf.DUMMYFUNCTION("""COMPUTED_VALUE"""),"21/03/2025")</f>
        <v>21/03/2025</v>
      </c>
      <c r="E221" s="100" t="str">
        <f>IFERROR(__xludf.DUMMYFUNCTION("""COMPUTED_VALUE"""),"007.052.864-01")</f>
        <v>007.052.864-01</v>
      </c>
      <c r="F221" s="100" t="str">
        <f>IFERROR(__xludf.DUMMYFUNCTION("""COMPUTED_VALUE"""),"INFANTIL 1")</f>
        <v>INFANTIL 1</v>
      </c>
      <c r="G221" s="100" t="str">
        <f>IFERROR(__xludf.DUMMYFUNCTION("""COMPUTED_VALUE"""),"CRECHE MUNICIPAL PROFESSORA MARIA RITA LINS MARTINS")</f>
        <v>CRECHE MUNICIPAL PROFESSORA MARIA RITA LINS MARTINS</v>
      </c>
      <c r="H221" s="100" t="str">
        <f>IFERROR(__xludf.DUMMYFUNCTION("""COMPUTED_VALUE"""),"REGIONAL 1")</f>
        <v>REGIONAL 1</v>
      </c>
      <c r="I221" s="100"/>
      <c r="J221" s="100"/>
      <c r="K221" s="100"/>
      <c r="L221" s="100"/>
      <c r="M221" s="100"/>
      <c r="N221" s="100"/>
      <c r="O221" s="100"/>
      <c r="P221" s="100"/>
      <c r="Q221" s="100"/>
      <c r="R221" s="100"/>
      <c r="S221" s="100"/>
      <c r="T221" s="100"/>
      <c r="U221" s="100"/>
      <c r="V221" s="100"/>
      <c r="W221" s="100"/>
      <c r="X221" s="100"/>
      <c r="Y221" s="100"/>
      <c r="Z221" s="100"/>
    </row>
    <row r="222" ht="15.75" customHeight="1" spans="1:26">
      <c r="A222" s="100" t="str">
        <f>IFERROR(__xludf.DUMMYFUNCTION("""COMPUTED_VALUE"""),"30/01/2026 13:46:37")</f>
        <v>30/01/2026 13:46:37</v>
      </c>
      <c r="B222" s="101" t="str">
        <f>IFERROR(__xludf.DUMMYFUNCTION("""COMPUTED_VALUE"""),"1")</f>
        <v>1</v>
      </c>
      <c r="C222" s="100" t="str">
        <f>IFERROR(__xludf.DUMMYFUNCTION("""COMPUTED_VALUE"""),"LUCAS MIGUEL DA SILVA PARAÍSO")</f>
        <v>LUCAS MIGUEL DA SILVA PARAÍSO</v>
      </c>
      <c r="D222" s="100" t="str">
        <f>IFERROR(__xludf.DUMMYFUNCTION("""COMPUTED_VALUE"""),"24/01/2024")</f>
        <v>24/01/2024</v>
      </c>
      <c r="E222" s="100" t="str">
        <f>IFERROR(__xludf.DUMMYFUNCTION("""COMPUTED_VALUE"""),"001.835.364-95")</f>
        <v>001.835.364-95</v>
      </c>
      <c r="F222" s="100" t="str">
        <f>IFERROR(__xludf.DUMMYFUNCTION("""COMPUTED_VALUE"""),"INFANTIL 2")</f>
        <v>INFANTIL 2</v>
      </c>
      <c r="G222" s="100" t="str">
        <f>IFERROR(__xludf.DUMMYFUNCTION("""COMPUTED_VALUE"""),"CRECHE MUNICIPAL PROFESSORA MARIA RITA LINS MARTINS")</f>
        <v>CRECHE MUNICIPAL PROFESSORA MARIA RITA LINS MARTINS</v>
      </c>
      <c r="H222" s="100" t="str">
        <f>IFERROR(__xludf.DUMMYFUNCTION("""COMPUTED_VALUE"""),"REGIONAL 1")</f>
        <v>REGIONAL 1</v>
      </c>
      <c r="I222" s="100"/>
      <c r="J222" s="100"/>
      <c r="K222" s="100"/>
      <c r="L222" s="100"/>
      <c r="M222" s="100"/>
      <c r="N222" s="100"/>
      <c r="O222" s="100"/>
      <c r="P222" s="100"/>
      <c r="Q222" s="100"/>
      <c r="R222" s="100"/>
      <c r="S222" s="100"/>
      <c r="T222" s="100"/>
      <c r="U222" s="100"/>
      <c r="V222" s="100"/>
      <c r="W222" s="100"/>
      <c r="X222" s="100"/>
      <c r="Y222" s="100"/>
      <c r="Z222" s="100"/>
    </row>
    <row r="223" ht="15.75" customHeight="1" spans="1:26">
      <c r="A223" s="100" t="str">
        <f>IFERROR(__xludf.DUMMYFUNCTION("""COMPUTED_VALUE"""),"08/03/2026 00:13:08")</f>
        <v>08/03/2026 00:13:08</v>
      </c>
      <c r="B223" s="101" t="str">
        <f>IFERROR(__xludf.DUMMYFUNCTION("""COMPUTED_VALUE"""),"2")</f>
        <v>2</v>
      </c>
      <c r="C223" s="100" t="str">
        <f>IFERROR(__xludf.DUMMYFUNCTION("""COMPUTED_VALUE"""),"HEITOR GABRIEL SANTANA GOMES DA SILVA")</f>
        <v>HEITOR GABRIEL SANTANA GOMES DA SILVA</v>
      </c>
      <c r="D223" s="100" t="str">
        <f>IFERROR(__xludf.DUMMYFUNCTION("""COMPUTED_VALUE"""),"19/07/2023")</f>
        <v>19/07/2023</v>
      </c>
      <c r="E223" s="100" t="str">
        <f>IFERROR(__xludf.DUMMYFUNCTION("""COMPUTED_VALUE"""),"186.023.384-81")</f>
        <v>186.023.384-81</v>
      </c>
      <c r="F223" s="100" t="str">
        <f>IFERROR(__xludf.DUMMYFUNCTION("""COMPUTED_VALUE"""),"INFANTIL 2")</f>
        <v>INFANTIL 2</v>
      </c>
      <c r="G223" s="100" t="str">
        <f>IFERROR(__xludf.DUMMYFUNCTION("""COMPUTED_VALUE"""),"CRECHE MUNICIPAL PROFESSORA MARIA RITA LINS MARTINS")</f>
        <v>CRECHE MUNICIPAL PROFESSORA MARIA RITA LINS MARTINS</v>
      </c>
      <c r="H223" s="100" t="str">
        <f>IFERROR(__xludf.DUMMYFUNCTION("""COMPUTED_VALUE"""),"REGIONAL 1")</f>
        <v>REGIONAL 1</v>
      </c>
      <c r="I223" s="100"/>
      <c r="J223" s="100"/>
      <c r="K223" s="100"/>
      <c r="L223" s="100"/>
      <c r="M223" s="100"/>
      <c r="N223" s="100"/>
      <c r="O223" s="100"/>
      <c r="P223" s="100"/>
      <c r="Q223" s="100"/>
      <c r="R223" s="100"/>
      <c r="S223" s="100"/>
      <c r="T223" s="100"/>
      <c r="U223" s="100"/>
      <c r="V223" s="100"/>
      <c r="W223" s="100"/>
      <c r="X223" s="100"/>
      <c r="Y223" s="100"/>
      <c r="Z223" s="100"/>
    </row>
    <row r="224" ht="15.75" customHeight="1" spans="1:26">
      <c r="A224" s="100" t="str">
        <f>IFERROR(__xludf.DUMMYFUNCTION("""COMPUTED_VALUE"""),"11/03/2026 10:30:16")</f>
        <v>11/03/2026 10:30:16</v>
      </c>
      <c r="B224" s="101" t="str">
        <f>IFERROR(__xludf.DUMMYFUNCTION("""COMPUTED_VALUE"""),"3")</f>
        <v>3</v>
      </c>
      <c r="C224" s="100" t="str">
        <f>IFERROR(__xludf.DUMMYFUNCTION("""COMPUTED_VALUE"""),"LORENZO SANTANA PAIXAO")</f>
        <v>LORENZO SANTANA PAIXAO</v>
      </c>
      <c r="D224" s="100" t="str">
        <f>IFERROR(__xludf.DUMMYFUNCTION("""COMPUTED_VALUE"""),"11/12/2023")</f>
        <v>11/12/2023</v>
      </c>
      <c r="E224" s="100" t="str">
        <f>IFERROR(__xludf.DUMMYFUNCTION("""COMPUTED_VALUE"""),"001.257.584-48")</f>
        <v>001.257.584-48</v>
      </c>
      <c r="F224" s="100" t="str">
        <f>IFERROR(__xludf.DUMMYFUNCTION("""COMPUTED_VALUE"""),"INFANTIL 2")</f>
        <v>INFANTIL 2</v>
      </c>
      <c r="G224" s="100" t="str">
        <f>IFERROR(__xludf.DUMMYFUNCTION("""COMPUTED_VALUE"""),"CRECHE MUNICIPAL PROFESSORA MARIA RITA LINS MARTINS")</f>
        <v>CRECHE MUNICIPAL PROFESSORA MARIA RITA LINS MARTINS</v>
      </c>
      <c r="H224" s="100" t="str">
        <f>IFERROR(__xludf.DUMMYFUNCTION("""COMPUTED_VALUE"""),"REGIONAL 1")</f>
        <v>REGIONAL 1</v>
      </c>
      <c r="I224" s="100"/>
      <c r="J224" s="100"/>
      <c r="K224" s="100"/>
      <c r="L224" s="100"/>
      <c r="M224" s="100"/>
      <c r="N224" s="100"/>
      <c r="O224" s="100"/>
      <c r="P224" s="100"/>
      <c r="Q224" s="100"/>
      <c r="R224" s="100"/>
      <c r="S224" s="100"/>
      <c r="T224" s="100"/>
      <c r="U224" s="100"/>
      <c r="V224" s="100"/>
      <c r="W224" s="100"/>
      <c r="X224" s="100"/>
      <c r="Y224" s="100"/>
      <c r="Z224" s="100"/>
    </row>
    <row r="225" ht="15.75" customHeight="1" spans="1:26">
      <c r="A225" s="100" t="str">
        <f>IFERROR(__xludf.DUMMYFUNCTION("""COMPUTED_VALUE"""),"17/03/2026 08:58:14")</f>
        <v>17/03/2026 08:58:14</v>
      </c>
      <c r="B225" s="101" t="str">
        <f>IFERROR(__xludf.DUMMYFUNCTION("""COMPUTED_VALUE"""),"4")</f>
        <v>4</v>
      </c>
      <c r="C225" s="100" t="str">
        <f>IFERROR(__xludf.DUMMYFUNCTION("""COMPUTED_VALUE"""),"LETÍCIA RIBAS DA LUZ")</f>
        <v>LETÍCIA RIBAS DA LUZ</v>
      </c>
      <c r="D225" s="100" t="str">
        <f>IFERROR(__xludf.DUMMYFUNCTION("""COMPUTED_VALUE"""),"09/03/2024")</f>
        <v>09/03/2024</v>
      </c>
      <c r="E225" s="100" t="str">
        <f>IFERROR(__xludf.DUMMYFUNCTION("""COMPUTED_VALUE"""),"001.930.104-96")</f>
        <v>001.930.104-96</v>
      </c>
      <c r="F225" s="100" t="str">
        <f>IFERROR(__xludf.DUMMYFUNCTION("""COMPUTED_VALUE"""),"INFANTIL 2")</f>
        <v>INFANTIL 2</v>
      </c>
      <c r="G225" s="100" t="str">
        <f>IFERROR(__xludf.DUMMYFUNCTION("""COMPUTED_VALUE"""),"CRECHE MUNICIPAL PROFESSORA MARIA RITA LINS MARTINS")</f>
        <v>CRECHE MUNICIPAL PROFESSORA MARIA RITA LINS MARTINS</v>
      </c>
      <c r="H225" s="100" t="str">
        <f>IFERROR(__xludf.DUMMYFUNCTION("""COMPUTED_VALUE"""),"REGIONAL 1")</f>
        <v>REGIONAL 1</v>
      </c>
      <c r="I225" s="100"/>
      <c r="J225" s="100"/>
      <c r="K225" s="100"/>
      <c r="L225" s="100"/>
      <c r="M225" s="100"/>
      <c r="N225" s="100"/>
      <c r="O225" s="100"/>
      <c r="P225" s="100"/>
      <c r="Q225" s="100"/>
      <c r="R225" s="100"/>
      <c r="S225" s="100"/>
      <c r="T225" s="100"/>
      <c r="U225" s="100"/>
      <c r="V225" s="100"/>
      <c r="W225" s="100"/>
      <c r="X225" s="100"/>
      <c r="Y225" s="100"/>
      <c r="Z225" s="100"/>
    </row>
    <row r="226" ht="15.75" customHeight="1" spans="1:26">
      <c r="A226" s="100" t="str">
        <f>IFERROR(__xludf.DUMMYFUNCTION("""COMPUTED_VALUE"""),"16/04/2026 17:20:01")</f>
        <v>16/04/2026 17:20:01</v>
      </c>
      <c r="B226" s="101" t="str">
        <f>IFERROR(__xludf.DUMMYFUNCTION("""COMPUTED_VALUE"""),"5")</f>
        <v>5</v>
      </c>
      <c r="C226" s="100" t="str">
        <f>IFERROR(__xludf.DUMMYFUNCTION("""COMPUTED_VALUE"""),"MARIA CLARA DOS SANTOS CHAVES MARTINS")</f>
        <v>MARIA CLARA DOS SANTOS CHAVES MARTINS</v>
      </c>
      <c r="D226" s="100" t="str">
        <f>IFERROR(__xludf.DUMMYFUNCTION("""COMPUTED_VALUE"""),"17/04/2023")</f>
        <v>17/04/2023</v>
      </c>
      <c r="E226" s="100" t="str">
        <f>IFERROR(__xludf.DUMMYFUNCTION("""COMPUTED_VALUE"""),"185.113.384-46")</f>
        <v>185.113.384-46</v>
      </c>
      <c r="F226" s="100" t="str">
        <f>IFERROR(__xludf.DUMMYFUNCTION("""COMPUTED_VALUE"""),"INFANTIL 2")</f>
        <v>INFANTIL 2</v>
      </c>
      <c r="G226" s="100" t="str">
        <f>IFERROR(__xludf.DUMMYFUNCTION("""COMPUTED_VALUE"""),"CRECHE MUNICIPAL PROFESSORA MARIA RITA LINS MARTINS")</f>
        <v>CRECHE MUNICIPAL PROFESSORA MARIA RITA LINS MARTINS</v>
      </c>
      <c r="H226" s="100" t="str">
        <f>IFERROR(__xludf.DUMMYFUNCTION("""COMPUTED_VALUE"""),"REGIONAL 1")</f>
        <v>REGIONAL 1</v>
      </c>
      <c r="I226" s="100"/>
      <c r="J226" s="100"/>
      <c r="K226" s="100"/>
      <c r="L226" s="100"/>
      <c r="M226" s="100"/>
      <c r="N226" s="100"/>
      <c r="O226" s="100"/>
      <c r="P226" s="100"/>
      <c r="Q226" s="100"/>
      <c r="R226" s="100"/>
      <c r="S226" s="100"/>
      <c r="T226" s="100"/>
      <c r="U226" s="100"/>
      <c r="V226" s="100"/>
      <c r="W226" s="100"/>
      <c r="X226" s="100"/>
      <c r="Y226" s="100"/>
      <c r="Z226" s="100"/>
    </row>
    <row r="227" ht="15.75" customHeight="1" spans="1:26">
      <c r="A227" s="100" t="str">
        <f>IFERROR(__xludf.DUMMYFUNCTION("""COMPUTED_VALUE"""),"13/05/2026 08:10:15")</f>
        <v>13/05/2026 08:10:15</v>
      </c>
      <c r="B227" s="101" t="str">
        <f>IFERROR(__xludf.DUMMYFUNCTION("""COMPUTED_VALUE"""),"6")</f>
        <v>6</v>
      </c>
      <c r="C227" s="100" t="str">
        <f>IFERROR(__xludf.DUMMYFUNCTION("""COMPUTED_VALUE"""),"THAYLLA MELISSA OLIVEIRA DOS SANTOS")</f>
        <v>THAYLLA MELISSA OLIVEIRA DOS SANTOS</v>
      </c>
      <c r="D227" s="100" t="str">
        <f>IFERROR(__xludf.DUMMYFUNCTION("""COMPUTED_VALUE"""),"16/08/2023")</f>
        <v>16/08/2023</v>
      </c>
      <c r="E227" s="100" t="str">
        <f>IFERROR(__xludf.DUMMYFUNCTION("""COMPUTED_VALUE"""),"186.284.484-46")</f>
        <v>186.284.484-46</v>
      </c>
      <c r="F227" s="100" t="str">
        <f>IFERROR(__xludf.DUMMYFUNCTION("""COMPUTED_VALUE"""),"INFANTIL 2")</f>
        <v>INFANTIL 2</v>
      </c>
      <c r="G227" s="100" t="str">
        <f>IFERROR(__xludf.DUMMYFUNCTION("""COMPUTED_VALUE"""),"CRECHE MUNICIPAL PROFESSORA MARIA RITA LINS MARTINS")</f>
        <v>CRECHE MUNICIPAL PROFESSORA MARIA RITA LINS MARTINS</v>
      </c>
      <c r="H227" s="100" t="str">
        <f>IFERROR(__xludf.DUMMYFUNCTION("""COMPUTED_VALUE"""),"REGIONAL 1")</f>
        <v>REGIONAL 1</v>
      </c>
      <c r="I227" s="100"/>
      <c r="J227" s="100"/>
      <c r="K227" s="100"/>
      <c r="L227" s="100"/>
      <c r="M227" s="100"/>
      <c r="N227" s="100"/>
      <c r="O227" s="100"/>
      <c r="P227" s="100"/>
      <c r="Q227" s="100"/>
      <c r="R227" s="100"/>
      <c r="S227" s="100"/>
      <c r="T227" s="100"/>
      <c r="U227" s="100"/>
      <c r="V227" s="100"/>
      <c r="W227" s="100"/>
      <c r="X227" s="100"/>
      <c r="Y227" s="100"/>
      <c r="Z227" s="100"/>
    </row>
    <row r="228" ht="15.75" customHeight="1" spans="1:26">
      <c r="A228" s="100" t="str">
        <f>IFERROR(__xludf.DUMMYFUNCTION("""COMPUTED_VALUE"""),"16/04/2026 17:16:18")</f>
        <v>16/04/2026 17:16:18</v>
      </c>
      <c r="B228" s="101" t="str">
        <f>IFERROR(__xludf.DUMMYFUNCTION("""COMPUTED_VALUE"""),"1")</f>
        <v>1</v>
      </c>
      <c r="C228" s="100" t="str">
        <f>IFERROR(__xludf.DUMMYFUNCTION("""COMPUTED_VALUE"""),"MARCELO GUILHERME DOS SANTOS CHAVES MARTINS")</f>
        <v>MARCELO GUILHERME DOS SANTOS CHAVES MARTINS</v>
      </c>
      <c r="D228" s="100" t="str">
        <f>IFERROR(__xludf.DUMMYFUNCTION("""COMPUTED_VALUE"""),"11/04/2022")</f>
        <v>11/04/2022</v>
      </c>
      <c r="E228" s="100" t="str">
        <f>IFERROR(__xludf.DUMMYFUNCTION("""COMPUTED_VALUE"""),"181.266.334-09")</f>
        <v>181.266.334-09</v>
      </c>
      <c r="F228" s="100" t="str">
        <f>IFERROR(__xludf.DUMMYFUNCTION("""COMPUTED_VALUE"""),"INFANTIL 3")</f>
        <v>INFANTIL 3</v>
      </c>
      <c r="G228" s="100" t="str">
        <f>IFERROR(__xludf.DUMMYFUNCTION("""COMPUTED_VALUE"""),"CRECHE MUNICIPAL PROFESSORA MARIA RITA LINS MARTINS")</f>
        <v>CRECHE MUNICIPAL PROFESSORA MARIA RITA LINS MARTINS</v>
      </c>
      <c r="H228" s="100" t="str">
        <f>IFERROR(__xludf.DUMMYFUNCTION("""COMPUTED_VALUE"""),"REGIONAL 1")</f>
        <v>REGIONAL 1</v>
      </c>
      <c r="I228" s="100"/>
      <c r="J228" s="100"/>
      <c r="K228" s="100"/>
      <c r="L228" s="100"/>
      <c r="M228" s="100"/>
      <c r="N228" s="100"/>
      <c r="O228" s="100"/>
      <c r="P228" s="100"/>
      <c r="Q228" s="100"/>
      <c r="R228" s="100"/>
      <c r="S228" s="100"/>
      <c r="T228" s="100"/>
      <c r="U228" s="100"/>
      <c r="V228" s="100"/>
      <c r="W228" s="100"/>
      <c r="X228" s="100"/>
      <c r="Y228" s="100"/>
      <c r="Z228" s="100"/>
    </row>
    <row r="229" ht="15.75" customHeight="1" spans="1:26">
      <c r="A229" s="100" t="str">
        <f>IFERROR(__xludf.DUMMYFUNCTION("""COMPUTED_VALUE"""),"10/05/2026 13:58:19")</f>
        <v>10/05/2026 13:58:19</v>
      </c>
      <c r="B229" s="101" t="str">
        <f>IFERROR(__xludf.DUMMYFUNCTION("""COMPUTED_VALUE"""),"2")</f>
        <v>2</v>
      </c>
      <c r="C229" s="100" t="str">
        <f>IFERROR(__xludf.DUMMYFUNCTION("""COMPUTED_VALUE"""),"DAVI EMANOEL DE MELO")</f>
        <v>DAVI EMANOEL DE MELO</v>
      </c>
      <c r="D229" s="100" t="str">
        <f>IFERROR(__xludf.DUMMYFUNCTION("""COMPUTED_VALUE"""),"07/01/2023")</f>
        <v>07/01/2023</v>
      </c>
      <c r="E229" s="100" t="str">
        <f>IFERROR(__xludf.DUMMYFUNCTION("""COMPUTED_VALUE"""),"184.254.274-52")</f>
        <v>184.254.274-52</v>
      </c>
      <c r="F229" s="100" t="str">
        <f>IFERROR(__xludf.DUMMYFUNCTION("""COMPUTED_VALUE"""),"INFANTIL 3")</f>
        <v>INFANTIL 3</v>
      </c>
      <c r="G229" s="100" t="str">
        <f>IFERROR(__xludf.DUMMYFUNCTION("""COMPUTED_VALUE"""),"CRECHE MUNICIPAL PROFESSORA MARIA RITA LINS MARTINS")</f>
        <v>CRECHE MUNICIPAL PROFESSORA MARIA RITA LINS MARTINS</v>
      </c>
      <c r="H229" s="100" t="str">
        <f>IFERROR(__xludf.DUMMYFUNCTION("""COMPUTED_VALUE"""),"REGIONAL 1")</f>
        <v>REGIONAL 1</v>
      </c>
      <c r="I229" s="100"/>
      <c r="J229" s="100"/>
      <c r="K229" s="100"/>
      <c r="L229" s="100"/>
      <c r="M229" s="100"/>
      <c r="N229" s="100"/>
      <c r="O229" s="100"/>
      <c r="P229" s="100"/>
      <c r="Q229" s="100"/>
      <c r="R229" s="100"/>
      <c r="S229" s="100"/>
      <c r="T229" s="100"/>
      <c r="U229" s="100"/>
      <c r="V229" s="100"/>
      <c r="W229" s="100"/>
      <c r="X229" s="100"/>
      <c r="Y229" s="100"/>
      <c r="Z229" s="100"/>
    </row>
    <row r="230" ht="15.75" customHeight="1" spans="1:26">
      <c r="A230" s="100" t="str">
        <f>IFERROR(__xludf.DUMMYFUNCTION("""COMPUTED_VALUE"""),"05/02/2026 23:06:26")</f>
        <v>05/02/2026 23:06:26</v>
      </c>
      <c r="B230" s="101" t="str">
        <f>IFERROR(__xludf.DUMMYFUNCTION("""COMPUTED_VALUE"""),"1")</f>
        <v>1</v>
      </c>
      <c r="C230" s="100" t="str">
        <f>IFERROR(__xludf.DUMMYFUNCTION("""COMPUTED_VALUE"""),"LIAN SAMUEL SANTOS")</f>
        <v>LIAN SAMUEL SANTOS</v>
      </c>
      <c r="D230" s="100" t="str">
        <f>IFERROR(__xludf.DUMMYFUNCTION("""COMPUTED_VALUE"""),"27/04/2025")</f>
        <v>27/04/2025</v>
      </c>
      <c r="E230" s="100" t="str">
        <f>IFERROR(__xludf.DUMMYFUNCTION("""COMPUTED_VALUE"""),"017.661.634-91")</f>
        <v>017.661.634-91</v>
      </c>
      <c r="F230" s="100" t="str">
        <f>IFERROR(__xludf.DUMMYFUNCTION("""COMPUTED_VALUE"""),"INFANTIL 1")</f>
        <v>INFANTIL 1</v>
      </c>
      <c r="G230" s="100" t="str">
        <f>IFERROR(__xludf.DUMMYFUNCTION("""COMPUTED_VALUE"""),"CRECHE MUNICIPAL PROFESSORA SILVIA CRISTINA SANTOS BOTELHO")</f>
        <v>CRECHE MUNICIPAL PROFESSORA SILVIA CRISTINA SANTOS BOTELHO</v>
      </c>
      <c r="H230" s="100" t="str">
        <f>IFERROR(__xludf.DUMMYFUNCTION("""COMPUTED_VALUE"""),"REGIONAL 7")</f>
        <v>REGIONAL 7</v>
      </c>
      <c r="I230" s="100"/>
      <c r="J230" s="100"/>
      <c r="K230" s="100"/>
      <c r="L230" s="100"/>
      <c r="M230" s="100"/>
      <c r="N230" s="100"/>
      <c r="O230" s="100"/>
      <c r="P230" s="100"/>
      <c r="Q230" s="100"/>
      <c r="R230" s="100"/>
      <c r="S230" s="100"/>
      <c r="T230" s="100"/>
      <c r="U230" s="100"/>
      <c r="V230" s="100"/>
      <c r="W230" s="100"/>
      <c r="X230" s="100"/>
      <c r="Y230" s="100"/>
      <c r="Z230" s="100"/>
    </row>
    <row r="231" ht="15.75" customHeight="1" spans="1:26">
      <c r="A231" s="100" t="str">
        <f>IFERROR(__xludf.DUMMYFUNCTION("""COMPUTED_VALUE"""),"27/03/2026 15:45:11")</f>
        <v>27/03/2026 15:45:11</v>
      </c>
      <c r="B231" s="101" t="str">
        <f>IFERROR(__xludf.DUMMYFUNCTION("""COMPUTED_VALUE"""),"2")</f>
        <v>2</v>
      </c>
      <c r="C231" s="100" t="str">
        <f>IFERROR(__xludf.DUMMYFUNCTION("""COMPUTED_VALUE"""),"ASAFE MIQUÉIAS DOS SANTOS VIEIRA")</f>
        <v>ASAFE MIQUÉIAS DOS SANTOS VIEIRA</v>
      </c>
      <c r="D231" s="100" t="str">
        <f>IFERROR(__xludf.DUMMYFUNCTION("""COMPUTED_VALUE"""),"12/10/2024")</f>
        <v>12/10/2024</v>
      </c>
      <c r="E231" s="100" t="str">
        <f>IFERROR(__xludf.DUMMYFUNCTION("""COMPUTED_VALUE"""),"004.348.364-00")</f>
        <v>004.348.364-00</v>
      </c>
      <c r="F231" s="100" t="str">
        <f>IFERROR(__xludf.DUMMYFUNCTION("""COMPUTED_VALUE"""),"INFANTIL 1")</f>
        <v>INFANTIL 1</v>
      </c>
      <c r="G231" s="100" t="str">
        <f>IFERROR(__xludf.DUMMYFUNCTION("""COMPUTED_VALUE"""),"CRECHE MUNICIPAL PROFESSORA SILVIA CRISTINA SANTOS BOTELHO")</f>
        <v>CRECHE MUNICIPAL PROFESSORA SILVIA CRISTINA SANTOS BOTELHO</v>
      </c>
      <c r="H231" s="100" t="str">
        <f>IFERROR(__xludf.DUMMYFUNCTION("""COMPUTED_VALUE"""),"REGIONAL 7")</f>
        <v>REGIONAL 7</v>
      </c>
      <c r="I231" s="100"/>
      <c r="J231" s="100"/>
      <c r="K231" s="100"/>
      <c r="L231" s="100"/>
      <c r="M231" s="100"/>
      <c r="N231" s="100"/>
      <c r="O231" s="100"/>
      <c r="P231" s="100"/>
      <c r="Q231" s="100"/>
      <c r="R231" s="100"/>
      <c r="S231" s="100"/>
      <c r="T231" s="100"/>
      <c r="U231" s="100"/>
      <c r="V231" s="100"/>
      <c r="W231" s="100"/>
      <c r="X231" s="100"/>
      <c r="Y231" s="100"/>
      <c r="Z231" s="100"/>
    </row>
    <row r="232" ht="15.75" customHeight="1" spans="1:26">
      <c r="A232" s="100" t="str">
        <f>IFERROR(__xludf.DUMMYFUNCTION("""COMPUTED_VALUE"""),"15/04/2026 22:22:20")</f>
        <v>15/04/2026 22:22:20</v>
      </c>
      <c r="B232" s="101" t="str">
        <f>IFERROR(__xludf.DUMMYFUNCTION("""COMPUTED_VALUE"""),"3")</f>
        <v>3</v>
      </c>
      <c r="C232" s="100" t="str">
        <f>IFERROR(__xludf.DUMMYFUNCTION("""COMPUTED_VALUE"""),"ISAAC ELVIS DA SILVA")</f>
        <v>ISAAC ELVIS DA SILVA</v>
      </c>
      <c r="D232" s="100" t="str">
        <f>IFERROR(__xludf.DUMMYFUNCTION("""COMPUTED_VALUE"""),"19/11/2024")</f>
        <v>19/11/2024</v>
      </c>
      <c r="E232" s="100" t="str">
        <f>IFERROR(__xludf.DUMMYFUNCTION("""COMPUTED_VALUE"""),"004.669.314-92")</f>
        <v>004.669.314-92</v>
      </c>
      <c r="F232" s="100" t="str">
        <f>IFERROR(__xludf.DUMMYFUNCTION("""COMPUTED_VALUE"""),"INFANTIL 1")</f>
        <v>INFANTIL 1</v>
      </c>
      <c r="G232" s="100" t="str">
        <f>IFERROR(__xludf.DUMMYFUNCTION("""COMPUTED_VALUE"""),"CRECHE MUNICIPAL PROFESSORA SILVIA CRISTINA SANTOS BOTELHO")</f>
        <v>CRECHE MUNICIPAL PROFESSORA SILVIA CRISTINA SANTOS BOTELHO</v>
      </c>
      <c r="H232" s="100" t="str">
        <f>IFERROR(__xludf.DUMMYFUNCTION("""COMPUTED_VALUE"""),"REGIONAL 7")</f>
        <v>REGIONAL 7</v>
      </c>
      <c r="I232" s="100"/>
      <c r="J232" s="100"/>
      <c r="K232" s="100"/>
      <c r="L232" s="100"/>
      <c r="M232" s="100"/>
      <c r="N232" s="100"/>
      <c r="O232" s="100"/>
      <c r="P232" s="100"/>
      <c r="Q232" s="100"/>
      <c r="R232" s="100"/>
      <c r="S232" s="100"/>
      <c r="T232" s="100"/>
      <c r="U232" s="100"/>
      <c r="V232" s="100"/>
      <c r="W232" s="100"/>
      <c r="X232" s="100"/>
      <c r="Y232" s="100"/>
      <c r="Z232" s="100"/>
    </row>
    <row r="233" ht="15.75" customHeight="1" spans="1:26">
      <c r="A233" s="100" t="str">
        <f>IFERROR(__xludf.DUMMYFUNCTION("""COMPUTED_VALUE"""),"05/05/2026 10:48:19")</f>
        <v>05/05/2026 10:48:19</v>
      </c>
      <c r="B233" s="101" t="str">
        <f>IFERROR(__xludf.DUMMYFUNCTION("""COMPUTED_VALUE"""),"4")</f>
        <v>4</v>
      </c>
      <c r="C233" s="100" t="str">
        <f>IFERROR(__xludf.DUMMYFUNCTION("""COMPUTED_VALUE"""),"DAVI NOGUEIRA")</f>
        <v>DAVI NOGUEIRA</v>
      </c>
      <c r="D233" s="100" t="str">
        <f>IFERROR(__xludf.DUMMYFUNCTION("""COMPUTED_VALUE"""),"19/06/2024")</f>
        <v>19/06/2024</v>
      </c>
      <c r="E233" s="100" t="str">
        <f>IFERROR(__xludf.DUMMYFUNCTION("""COMPUTED_VALUE"""),"003.540.674-78")</f>
        <v>003.540.674-78</v>
      </c>
      <c r="F233" s="100" t="str">
        <f>IFERROR(__xludf.DUMMYFUNCTION("""COMPUTED_VALUE"""),"INFANTIL 1")</f>
        <v>INFANTIL 1</v>
      </c>
      <c r="G233" s="100" t="str">
        <f>IFERROR(__xludf.DUMMYFUNCTION("""COMPUTED_VALUE"""),"CRECHE MUNICIPAL PROFESSORA SILVIA CRISTINA SANTOS BOTELHO")</f>
        <v>CRECHE MUNICIPAL PROFESSORA SILVIA CRISTINA SANTOS BOTELHO</v>
      </c>
      <c r="H233" s="100" t="str">
        <f>IFERROR(__xludf.DUMMYFUNCTION("""COMPUTED_VALUE"""),"REGIONAL 7")</f>
        <v>REGIONAL 7</v>
      </c>
      <c r="I233" s="100"/>
      <c r="J233" s="100"/>
      <c r="K233" s="100"/>
      <c r="L233" s="100"/>
      <c r="M233" s="100"/>
      <c r="N233" s="100"/>
      <c r="O233" s="100"/>
      <c r="P233" s="100"/>
      <c r="Q233" s="100"/>
      <c r="R233" s="100"/>
      <c r="S233" s="100"/>
      <c r="T233" s="100"/>
      <c r="U233" s="100"/>
      <c r="V233" s="100"/>
      <c r="W233" s="100"/>
      <c r="X233" s="100"/>
      <c r="Y233" s="100"/>
      <c r="Z233" s="100"/>
    </row>
    <row r="234" ht="15.75" customHeight="1" spans="1:26">
      <c r="A234" s="100" t="str">
        <f>IFERROR(__xludf.DUMMYFUNCTION("""COMPUTED_VALUE"""),"25/05/2026 19:36:10")</f>
        <v>25/05/2026 19:36:10</v>
      </c>
      <c r="B234" s="101" t="str">
        <f>IFERROR(__xludf.DUMMYFUNCTION("""COMPUTED_VALUE"""),"5")</f>
        <v>5</v>
      </c>
      <c r="C234" s="100" t="str">
        <f>IFERROR(__xludf.DUMMYFUNCTION("""COMPUTED_VALUE"""),"Ayla Sophia santos da silva")</f>
        <v>Ayla Sophia santos da silva</v>
      </c>
      <c r="D234" s="100" t="str">
        <f>IFERROR(__xludf.DUMMYFUNCTION("""COMPUTED_VALUE"""),"05/01/2025")</f>
        <v>05/01/2025</v>
      </c>
      <c r="E234" s="100" t="str">
        <f>IFERROR(__xludf.DUMMYFUNCTION("""COMPUTED_VALUE"""),"005.022.224-41")</f>
        <v>005.022.224-41</v>
      </c>
      <c r="F234" s="100" t="str">
        <f>IFERROR(__xludf.DUMMYFUNCTION("""COMPUTED_VALUE"""),"INFANTIL 1")</f>
        <v>INFANTIL 1</v>
      </c>
      <c r="G234" s="100" t="str">
        <f>IFERROR(__xludf.DUMMYFUNCTION("""COMPUTED_VALUE"""),"CRECHE MUNICIPAL PROFESSORA SILVIA CRISTINA SANTOS BOTELHO")</f>
        <v>CRECHE MUNICIPAL PROFESSORA SILVIA CRISTINA SANTOS BOTELHO</v>
      </c>
      <c r="H234" s="100" t="str">
        <f>IFERROR(__xludf.DUMMYFUNCTION("""COMPUTED_VALUE"""),"REGIONAL 7")</f>
        <v>REGIONAL 7</v>
      </c>
      <c r="I234" s="100"/>
      <c r="J234" s="100"/>
      <c r="K234" s="100"/>
      <c r="L234" s="100"/>
      <c r="M234" s="100"/>
      <c r="N234" s="100"/>
      <c r="O234" s="100"/>
      <c r="P234" s="100"/>
      <c r="Q234" s="100"/>
      <c r="R234" s="100"/>
      <c r="S234" s="100"/>
      <c r="T234" s="100"/>
      <c r="U234" s="100"/>
      <c r="V234" s="100"/>
      <c r="W234" s="100"/>
      <c r="X234" s="100"/>
      <c r="Y234" s="100"/>
      <c r="Z234" s="100"/>
    </row>
    <row r="235" ht="15.75" customHeight="1" spans="1:26">
      <c r="A235" s="100" t="str">
        <f>IFERROR(__xludf.DUMMYFUNCTION("""COMPUTED_VALUE"""),"26/02/2026 09:33:21")</f>
        <v>26/02/2026 09:33:21</v>
      </c>
      <c r="B235" s="101" t="str">
        <f>IFERROR(__xludf.DUMMYFUNCTION("""COMPUTED_VALUE"""),"1")</f>
        <v>1</v>
      </c>
      <c r="C235" s="100" t="str">
        <f>IFERROR(__xludf.DUMMYFUNCTION("""COMPUTED_VALUE"""),"MELANIE LORENA SOARES DA SILVA")</f>
        <v>MELANIE LORENA SOARES DA SILVA</v>
      </c>
      <c r="D235" s="100" t="str">
        <f>IFERROR(__xludf.DUMMYFUNCTION("""COMPUTED_VALUE"""),"20/07/2024")</f>
        <v>20/07/2024</v>
      </c>
      <c r="E235" s="100" t="str">
        <f>IFERROR(__xludf.DUMMYFUNCTION("""COMPUTED_VALUE"""),"003.731.354-16")</f>
        <v>003.731.354-16</v>
      </c>
      <c r="F235" s="100" t="str">
        <f>IFERROR(__xludf.DUMMYFUNCTION("""COMPUTED_VALUE"""),"INFANTIL 1")</f>
        <v>INFANTIL 1</v>
      </c>
      <c r="G235" s="100" t="str">
        <f>IFERROR(__xludf.DUMMYFUNCTION("""COMPUTED_VALUE"""),"CRECHE PROFESSORA LEDA MARIA QUEIROZ DO REGO BARROS")</f>
        <v>CRECHE PROFESSORA LEDA MARIA QUEIROZ DO REGO BARROS</v>
      </c>
      <c r="H235" s="100" t="str">
        <f>IFERROR(__xludf.DUMMYFUNCTION("""COMPUTED_VALUE"""),"REGIONAL 2")</f>
        <v>REGIONAL 2</v>
      </c>
      <c r="I235" s="100"/>
      <c r="J235" s="100"/>
      <c r="K235" s="100"/>
      <c r="L235" s="100"/>
      <c r="M235" s="100"/>
      <c r="N235" s="100"/>
      <c r="O235" s="100"/>
      <c r="P235" s="100"/>
      <c r="Q235" s="100"/>
      <c r="R235" s="100"/>
      <c r="S235" s="100"/>
      <c r="T235" s="100"/>
      <c r="U235" s="100"/>
      <c r="V235" s="100"/>
      <c r="W235" s="100"/>
      <c r="X235" s="100"/>
      <c r="Y235" s="100"/>
      <c r="Z235" s="100"/>
    </row>
    <row r="236" ht="15.75" customHeight="1" spans="1:26">
      <c r="A236" s="100" t="str">
        <f>IFERROR(__xludf.DUMMYFUNCTION("""COMPUTED_VALUE"""),"05/04/2026 16:11:06")</f>
        <v>05/04/2026 16:11:06</v>
      </c>
      <c r="B236" s="101" t="str">
        <f>IFERROR(__xludf.DUMMYFUNCTION("""COMPUTED_VALUE"""),"2")</f>
        <v>2</v>
      </c>
      <c r="C236" s="100" t="str">
        <f>IFERROR(__xludf.DUMMYFUNCTION("""COMPUTED_VALUE"""),"THÉO NICOLAS FERREIRA GERMANO")</f>
        <v>THÉO NICOLAS FERREIRA GERMANO</v>
      </c>
      <c r="D236" s="100" t="str">
        <f>IFERROR(__xludf.DUMMYFUNCTION("""COMPUTED_VALUE"""),"27/09/2024")</f>
        <v>27/09/2024</v>
      </c>
      <c r="E236" s="100" t="str">
        <f>IFERROR(__xludf.DUMMYFUNCTION("""COMPUTED_VALUE"""),"004.175.444-13")</f>
        <v>004.175.444-13</v>
      </c>
      <c r="F236" s="100" t="str">
        <f>IFERROR(__xludf.DUMMYFUNCTION("""COMPUTED_VALUE"""),"INFANTIL 1")</f>
        <v>INFANTIL 1</v>
      </c>
      <c r="G236" s="100" t="str">
        <f>IFERROR(__xludf.DUMMYFUNCTION("""COMPUTED_VALUE"""),"CRECHE PROFESSORA LEDA MARIA QUEIROZ DO REGO BARROS")</f>
        <v>CRECHE PROFESSORA LEDA MARIA QUEIROZ DO REGO BARROS</v>
      </c>
      <c r="H236" s="100" t="str">
        <f>IFERROR(__xludf.DUMMYFUNCTION("""COMPUTED_VALUE"""),"REGIONAL 2")</f>
        <v>REGIONAL 2</v>
      </c>
      <c r="I236" s="100"/>
      <c r="J236" s="100"/>
      <c r="K236" s="100"/>
      <c r="L236" s="100"/>
      <c r="M236" s="100"/>
      <c r="N236" s="100"/>
      <c r="O236" s="100"/>
      <c r="P236" s="100"/>
      <c r="Q236" s="100"/>
      <c r="R236" s="100"/>
      <c r="S236" s="100"/>
      <c r="T236" s="100"/>
      <c r="U236" s="100"/>
      <c r="V236" s="100"/>
      <c r="W236" s="100"/>
      <c r="X236" s="100"/>
      <c r="Y236" s="100"/>
      <c r="Z236" s="100"/>
    </row>
    <row r="237" ht="15.75" customHeight="1" spans="1:26">
      <c r="A237" s="100" t="str">
        <f>IFERROR(__xludf.DUMMYFUNCTION("""COMPUTED_VALUE"""),"25/05/2026 11:20:13")</f>
        <v>25/05/2026 11:20:13</v>
      </c>
      <c r="B237" s="101" t="str">
        <f>IFERROR(__xludf.DUMMYFUNCTION("""COMPUTED_VALUE"""),"3")</f>
        <v>3</v>
      </c>
      <c r="C237" s="100" t="str">
        <f>IFERROR(__xludf.DUMMYFUNCTION("""COMPUTED_VALUE"""),"Maria Clara Martins Da Silva")</f>
        <v>Maria Clara Martins Da Silva</v>
      </c>
      <c r="D237" s="100" t="str">
        <f>IFERROR(__xludf.DUMMYFUNCTION("""COMPUTED_VALUE"""),"22/04/2024")</f>
        <v>22/04/2024</v>
      </c>
      <c r="E237" s="100" t="str">
        <f>IFERROR(__xludf.DUMMYFUNCTION("""COMPUTED_VALUE"""),"003.270.114-40")</f>
        <v>003.270.114-40</v>
      </c>
      <c r="F237" s="100" t="str">
        <f>IFERROR(__xludf.DUMMYFUNCTION("""COMPUTED_VALUE"""),"INFANTIL 1")</f>
        <v>INFANTIL 1</v>
      </c>
      <c r="G237" s="100" t="str">
        <f>IFERROR(__xludf.DUMMYFUNCTION("""COMPUTED_VALUE"""),"CRECHE PROFESSORA LEDA MARIA QUEIROZ DO REGO BARROS")</f>
        <v>CRECHE PROFESSORA LEDA MARIA QUEIROZ DO REGO BARROS</v>
      </c>
      <c r="H237" s="100" t="str">
        <f>IFERROR(__xludf.DUMMYFUNCTION("""COMPUTED_VALUE"""),"REGIONAL 2")</f>
        <v>REGIONAL 2</v>
      </c>
      <c r="I237" s="100"/>
      <c r="J237" s="100"/>
      <c r="K237" s="100"/>
      <c r="L237" s="100"/>
      <c r="M237" s="100"/>
      <c r="N237" s="100"/>
      <c r="O237" s="100"/>
      <c r="P237" s="100"/>
      <c r="Q237" s="100"/>
      <c r="R237" s="100"/>
      <c r="S237" s="100"/>
      <c r="T237" s="100"/>
      <c r="U237" s="100"/>
      <c r="V237" s="100"/>
      <c r="W237" s="100"/>
      <c r="X237" s="100"/>
      <c r="Y237" s="100"/>
      <c r="Z237" s="100"/>
    </row>
    <row r="238" ht="15.75" customHeight="1" spans="1:26">
      <c r="A238" s="100" t="str">
        <f>IFERROR(__xludf.DUMMYFUNCTION("""COMPUTED_VALUE"""),"02/02/2026 18:41:44")</f>
        <v>02/02/2026 18:41:44</v>
      </c>
      <c r="B238" s="101" t="str">
        <f>IFERROR(__xludf.DUMMYFUNCTION("""COMPUTED_VALUE"""),"1")</f>
        <v>1</v>
      </c>
      <c r="C238" s="100" t="str">
        <f>IFERROR(__xludf.DUMMYFUNCTION("""COMPUTED_VALUE"""),"YAN KLEYSLER DE SOUZA PORTO")</f>
        <v>YAN KLEYSLER DE SOUZA PORTO</v>
      </c>
      <c r="D238" s="100" t="str">
        <f>IFERROR(__xludf.DUMMYFUNCTION("""COMPUTED_VALUE"""),"24/06/2023")</f>
        <v>24/06/2023</v>
      </c>
      <c r="E238" s="100" t="str">
        <f>IFERROR(__xludf.DUMMYFUNCTION("""COMPUTED_VALUE"""),"185.920.164-44")</f>
        <v>185.920.164-44</v>
      </c>
      <c r="F238" s="100" t="str">
        <f>IFERROR(__xludf.DUMMYFUNCTION("""COMPUTED_VALUE"""),"INFANTIL 2")</f>
        <v>INFANTIL 2</v>
      </c>
      <c r="G238" s="100" t="str">
        <f>IFERROR(__xludf.DUMMYFUNCTION("""COMPUTED_VALUE"""),"CRECHE PROFESSORA LEDA MARIA QUEIROZ DO REGO BARROS")</f>
        <v>CRECHE PROFESSORA LEDA MARIA QUEIROZ DO REGO BARROS</v>
      </c>
      <c r="H238" s="100" t="str">
        <f>IFERROR(__xludf.DUMMYFUNCTION("""COMPUTED_VALUE"""),"REGIONAL 2")</f>
        <v>REGIONAL 2</v>
      </c>
      <c r="I238" s="100"/>
      <c r="J238" s="100"/>
      <c r="K238" s="100"/>
      <c r="L238" s="100"/>
      <c r="M238" s="100"/>
      <c r="N238" s="100"/>
      <c r="O238" s="100"/>
      <c r="P238" s="100"/>
      <c r="Q238" s="100"/>
      <c r="R238" s="100"/>
      <c r="S238" s="100"/>
      <c r="T238" s="100"/>
      <c r="U238" s="100"/>
      <c r="V238" s="100"/>
      <c r="W238" s="100"/>
      <c r="X238" s="100"/>
      <c r="Y238" s="100"/>
      <c r="Z238" s="100"/>
    </row>
    <row r="239" ht="15.75" customHeight="1" spans="1:26">
      <c r="A239" s="100" t="str">
        <f>IFERROR(__xludf.DUMMYFUNCTION("""COMPUTED_VALUE"""),"09/02/2026 08:20:49")</f>
        <v>09/02/2026 08:20:49</v>
      </c>
      <c r="B239" s="101" t="str">
        <f>IFERROR(__xludf.DUMMYFUNCTION("""COMPUTED_VALUE"""),"2")</f>
        <v>2</v>
      </c>
      <c r="C239" s="100" t="str">
        <f>IFERROR(__xludf.DUMMYFUNCTION("""COMPUTED_VALUE"""),"THEODORO RODRIGUES DE SOUZA")</f>
        <v>THEODORO RODRIGUES DE SOUZA</v>
      </c>
      <c r="D239" s="100" t="str">
        <f>IFERROR(__xludf.DUMMYFUNCTION("""COMPUTED_VALUE"""),"10/03/2024")</f>
        <v>10/03/2024</v>
      </c>
      <c r="E239" s="100" t="str">
        <f>IFERROR(__xludf.DUMMYFUNCTION("""COMPUTED_VALUE"""),"002.234.014-98")</f>
        <v>002.234.014-98</v>
      </c>
      <c r="F239" s="100" t="str">
        <f>IFERROR(__xludf.DUMMYFUNCTION("""COMPUTED_VALUE"""),"INFANTIL 2")</f>
        <v>INFANTIL 2</v>
      </c>
      <c r="G239" s="100" t="str">
        <f>IFERROR(__xludf.DUMMYFUNCTION("""COMPUTED_VALUE"""),"CRECHE PROFESSORA LEDA MARIA QUEIROZ DO REGO BARROS")</f>
        <v>CRECHE PROFESSORA LEDA MARIA QUEIROZ DO REGO BARROS</v>
      </c>
      <c r="H239" s="100" t="str">
        <f>IFERROR(__xludf.DUMMYFUNCTION("""COMPUTED_VALUE"""),"REGIONAL 2")</f>
        <v>REGIONAL 2</v>
      </c>
      <c r="I239" s="100"/>
      <c r="J239" s="100"/>
      <c r="K239" s="100"/>
      <c r="L239" s="100"/>
      <c r="M239" s="100"/>
      <c r="N239" s="100"/>
      <c r="O239" s="100"/>
      <c r="P239" s="100"/>
      <c r="Q239" s="100"/>
      <c r="R239" s="100"/>
      <c r="S239" s="100"/>
      <c r="T239" s="100"/>
      <c r="U239" s="100"/>
      <c r="V239" s="100"/>
      <c r="W239" s="100"/>
      <c r="X239" s="100"/>
      <c r="Y239" s="100"/>
      <c r="Z239" s="100"/>
    </row>
    <row r="240" ht="15.75" customHeight="1" spans="1:26">
      <c r="A240" s="100" t="str">
        <f>IFERROR(__xludf.DUMMYFUNCTION("""COMPUTED_VALUE"""),"09/03/2026 10:20:55")</f>
        <v>09/03/2026 10:20:55</v>
      </c>
      <c r="B240" s="101" t="str">
        <f>IFERROR(__xludf.DUMMYFUNCTION("""COMPUTED_VALUE"""),"3")</f>
        <v>3</v>
      </c>
      <c r="C240" s="100" t="str">
        <f>IFERROR(__xludf.DUMMYFUNCTION("""COMPUTED_VALUE"""),"SARAH JAAZIELY DA SILVA ALMEIDA")</f>
        <v>SARAH JAAZIELY DA SILVA ALMEIDA</v>
      </c>
      <c r="D240" s="100" t="str">
        <f>IFERROR(__xludf.DUMMYFUNCTION("""COMPUTED_VALUE"""),"19/06/2023")</f>
        <v>19/06/2023</v>
      </c>
      <c r="E240" s="100" t="str">
        <f>IFERROR(__xludf.DUMMYFUNCTION("""COMPUTED_VALUE"""),"185.906.584-81")</f>
        <v>185.906.584-81</v>
      </c>
      <c r="F240" s="100" t="str">
        <f>IFERROR(__xludf.DUMMYFUNCTION("""COMPUTED_VALUE"""),"INFANTIL 2")</f>
        <v>INFANTIL 2</v>
      </c>
      <c r="G240" s="100" t="str">
        <f>IFERROR(__xludf.DUMMYFUNCTION("""COMPUTED_VALUE"""),"CRECHE PROFESSORA LEDA MARIA QUEIROZ DO REGO BARROS")</f>
        <v>CRECHE PROFESSORA LEDA MARIA QUEIROZ DO REGO BARROS</v>
      </c>
      <c r="H240" s="100" t="str">
        <f>IFERROR(__xludf.DUMMYFUNCTION("""COMPUTED_VALUE"""),"REGIONAL 2")</f>
        <v>REGIONAL 2</v>
      </c>
      <c r="I240" s="100"/>
      <c r="J240" s="100"/>
      <c r="K240" s="100"/>
      <c r="L240" s="100"/>
      <c r="M240" s="100"/>
      <c r="N240" s="100"/>
      <c r="O240" s="100"/>
      <c r="P240" s="100"/>
      <c r="Q240" s="100"/>
      <c r="R240" s="100"/>
      <c r="S240" s="100"/>
      <c r="T240" s="100"/>
      <c r="U240" s="100"/>
      <c r="V240" s="100"/>
      <c r="W240" s="100"/>
      <c r="X240" s="100"/>
      <c r="Y240" s="100"/>
      <c r="Z240" s="100"/>
    </row>
    <row r="241" ht="15.75" customHeight="1" spans="1:26">
      <c r="A241" s="100" t="str">
        <f>IFERROR(__xludf.DUMMYFUNCTION("""COMPUTED_VALUE"""),"10/04/2026 02:09:34")</f>
        <v>10/04/2026 02:09:34</v>
      </c>
      <c r="B241" s="101" t="str">
        <f>IFERROR(__xludf.DUMMYFUNCTION("""COMPUTED_VALUE"""),"4")</f>
        <v>4</v>
      </c>
      <c r="C241" s="100" t="str">
        <f>IFERROR(__xludf.DUMMYFUNCTION("""COMPUTED_VALUE"""),"SAMUEL RICARDO SANTOS DO NASCIMENTO")</f>
        <v>SAMUEL RICARDO SANTOS DO NASCIMENTO</v>
      </c>
      <c r="D241" s="100" t="str">
        <f>IFERROR(__xludf.DUMMYFUNCTION("""COMPUTED_VALUE"""),"10/08/2023")</f>
        <v>10/08/2023</v>
      </c>
      <c r="E241" s="100" t="str">
        <f>IFERROR(__xludf.DUMMYFUNCTION("""COMPUTED_VALUE"""),"186.203.434-67")</f>
        <v>186.203.434-67</v>
      </c>
      <c r="F241" s="100" t="str">
        <f>IFERROR(__xludf.DUMMYFUNCTION("""COMPUTED_VALUE"""),"INFANTIL 2")</f>
        <v>INFANTIL 2</v>
      </c>
      <c r="G241" s="100" t="str">
        <f>IFERROR(__xludf.DUMMYFUNCTION("""COMPUTED_VALUE"""),"CRECHE PROFESSORA LEDA MARIA QUEIROZ DO REGO BARROS")</f>
        <v>CRECHE PROFESSORA LEDA MARIA QUEIROZ DO REGO BARROS</v>
      </c>
      <c r="H241" s="100" t="str">
        <f>IFERROR(__xludf.DUMMYFUNCTION("""COMPUTED_VALUE"""),"REGIONAL 2")</f>
        <v>REGIONAL 2</v>
      </c>
      <c r="I241" s="100"/>
      <c r="J241" s="100"/>
      <c r="K241" s="100"/>
      <c r="L241" s="100"/>
      <c r="M241" s="100"/>
      <c r="N241" s="100"/>
      <c r="O241" s="100"/>
      <c r="P241" s="100"/>
      <c r="Q241" s="100"/>
      <c r="R241" s="100"/>
      <c r="S241" s="100"/>
      <c r="T241" s="100"/>
      <c r="U241" s="100"/>
      <c r="V241" s="100"/>
      <c r="W241" s="100"/>
      <c r="X241" s="100"/>
      <c r="Y241" s="100"/>
      <c r="Z241" s="100"/>
    </row>
    <row r="242" ht="15.75" customHeight="1" spans="1:26">
      <c r="A242" s="100" t="str">
        <f>IFERROR(__xludf.DUMMYFUNCTION("""COMPUTED_VALUE"""),"22/04/2026 11:52:44")</f>
        <v>22/04/2026 11:52:44</v>
      </c>
      <c r="B242" s="101" t="str">
        <f>IFERROR(__xludf.DUMMYFUNCTION("""COMPUTED_VALUE"""),"5")</f>
        <v>5</v>
      </c>
      <c r="C242" s="100" t="str">
        <f>IFERROR(__xludf.DUMMYFUNCTION("""COMPUTED_VALUE"""),"HARIEL MIGUEL FAUSTINO")</f>
        <v>HARIEL MIGUEL FAUSTINO</v>
      </c>
      <c r="D242" s="100" t="str">
        <f>IFERROR(__xludf.DUMMYFUNCTION("""COMPUTED_VALUE"""),"15/07/2023")</f>
        <v>15/07/2023</v>
      </c>
      <c r="E242" s="100" t="str">
        <f>IFERROR(__xludf.DUMMYFUNCTION("""COMPUTED_VALUE"""),"186.111.564-47")</f>
        <v>186.111.564-47</v>
      </c>
      <c r="F242" s="100" t="str">
        <f>IFERROR(__xludf.DUMMYFUNCTION("""COMPUTED_VALUE"""),"INFANTIL 2")</f>
        <v>INFANTIL 2</v>
      </c>
      <c r="G242" s="100" t="str">
        <f>IFERROR(__xludf.DUMMYFUNCTION("""COMPUTED_VALUE"""),"CRECHE PROFESSORA LEDA MARIA QUEIROZ DO REGO BARROS")</f>
        <v>CRECHE PROFESSORA LEDA MARIA QUEIROZ DO REGO BARROS</v>
      </c>
      <c r="H242" s="100" t="str">
        <f>IFERROR(__xludf.DUMMYFUNCTION("""COMPUTED_VALUE"""),"REGIONAL 2")</f>
        <v>REGIONAL 2</v>
      </c>
      <c r="I242" s="100"/>
      <c r="J242" s="100"/>
      <c r="K242" s="100"/>
      <c r="L242" s="100"/>
      <c r="M242" s="100"/>
      <c r="N242" s="100"/>
      <c r="O242" s="100"/>
      <c r="P242" s="100"/>
      <c r="Q242" s="100"/>
      <c r="R242" s="100"/>
      <c r="S242" s="100"/>
      <c r="T242" s="100"/>
      <c r="U242" s="100"/>
      <c r="V242" s="100"/>
      <c r="W242" s="100"/>
      <c r="X242" s="100"/>
      <c r="Y242" s="100"/>
      <c r="Z242" s="100"/>
    </row>
    <row r="243" ht="15.75" customHeight="1" spans="1:26">
      <c r="A243" s="100"/>
      <c r="B243" s="101"/>
      <c r="C243" s="100"/>
      <c r="D243" s="100"/>
      <c r="E243" s="100"/>
      <c r="F243" s="100"/>
      <c r="G243" s="100"/>
      <c r="H243" s="100"/>
      <c r="I243" s="100"/>
      <c r="J243" s="100"/>
      <c r="K243" s="100"/>
      <c r="L243" s="100"/>
      <c r="M243" s="100"/>
      <c r="N243" s="100"/>
      <c r="O243" s="100"/>
      <c r="P243" s="100"/>
      <c r="Q243" s="100"/>
      <c r="R243" s="100"/>
      <c r="S243" s="100"/>
      <c r="T243" s="100"/>
      <c r="U243" s="100"/>
      <c r="V243" s="100"/>
      <c r="W243" s="100"/>
      <c r="X243" s="100"/>
      <c r="Y243" s="100"/>
      <c r="Z243" s="100"/>
    </row>
    <row r="244" ht="15.75" customHeight="1" spans="1:26">
      <c r="A244" s="100"/>
      <c r="B244" s="101"/>
      <c r="C244" s="100"/>
      <c r="D244" s="100"/>
      <c r="E244" s="100"/>
      <c r="F244" s="100"/>
      <c r="G244" s="100"/>
      <c r="H244" s="100"/>
      <c r="I244" s="100"/>
      <c r="J244" s="100"/>
      <c r="K244" s="100"/>
      <c r="L244" s="100"/>
      <c r="M244" s="100"/>
      <c r="N244" s="100"/>
      <c r="O244" s="100"/>
      <c r="P244" s="100"/>
      <c r="Q244" s="100"/>
      <c r="R244" s="100"/>
      <c r="S244" s="100"/>
      <c r="T244" s="100"/>
      <c r="U244" s="100"/>
      <c r="V244" s="100"/>
      <c r="W244" s="100"/>
      <c r="X244" s="100"/>
      <c r="Y244" s="100"/>
      <c r="Z244" s="100"/>
    </row>
    <row r="245" ht="15.75" customHeight="1" spans="1:26">
      <c r="A245" s="100"/>
      <c r="B245" s="101"/>
      <c r="C245" s="100"/>
      <c r="D245" s="100"/>
      <c r="E245" s="100"/>
      <c r="F245" s="100"/>
      <c r="G245" s="100"/>
      <c r="H245" s="100"/>
      <c r="I245" s="100"/>
      <c r="J245" s="100"/>
      <c r="K245" s="100"/>
      <c r="L245" s="100"/>
      <c r="M245" s="100"/>
      <c r="N245" s="100"/>
      <c r="O245" s="100"/>
      <c r="P245" s="100"/>
      <c r="Q245" s="100"/>
      <c r="R245" s="100"/>
      <c r="S245" s="100"/>
      <c r="T245" s="100"/>
      <c r="U245" s="100"/>
      <c r="V245" s="100"/>
      <c r="W245" s="100"/>
      <c r="X245" s="100"/>
      <c r="Y245" s="100"/>
      <c r="Z245" s="100"/>
    </row>
    <row r="246" ht="15.75" customHeight="1" spans="1:26">
      <c r="A246" s="100"/>
      <c r="B246" s="101"/>
      <c r="C246" s="100"/>
      <c r="D246" s="100"/>
      <c r="E246" s="100"/>
      <c r="F246" s="100"/>
      <c r="G246" s="100"/>
      <c r="H246" s="100"/>
      <c r="I246" s="100"/>
      <c r="J246" s="100"/>
      <c r="K246" s="100"/>
      <c r="L246" s="100"/>
      <c r="M246" s="100"/>
      <c r="N246" s="100"/>
      <c r="O246" s="100"/>
      <c r="P246" s="100"/>
      <c r="Q246" s="100"/>
      <c r="R246" s="100"/>
      <c r="S246" s="100"/>
      <c r="T246" s="100"/>
      <c r="U246" s="100"/>
      <c r="V246" s="100"/>
      <c r="W246" s="100"/>
      <c r="X246" s="100"/>
      <c r="Y246" s="100"/>
      <c r="Z246" s="100"/>
    </row>
    <row r="247" ht="15.75" customHeight="1" spans="1:26">
      <c r="A247" s="100"/>
      <c r="B247" s="101"/>
      <c r="C247" s="100"/>
      <c r="D247" s="100"/>
      <c r="E247" s="100"/>
      <c r="F247" s="100"/>
      <c r="G247" s="100"/>
      <c r="H247" s="100"/>
      <c r="I247" s="100"/>
      <c r="J247" s="100"/>
      <c r="K247" s="100"/>
      <c r="L247" s="100"/>
      <c r="M247" s="100"/>
      <c r="N247" s="100"/>
      <c r="O247" s="100"/>
      <c r="P247" s="100"/>
      <c r="Q247" s="100"/>
      <c r="R247" s="100"/>
      <c r="S247" s="100"/>
      <c r="T247" s="100"/>
      <c r="U247" s="100"/>
      <c r="V247" s="100"/>
      <c r="W247" s="100"/>
      <c r="X247" s="100"/>
      <c r="Y247" s="100"/>
      <c r="Z247" s="100"/>
    </row>
    <row r="248" ht="15.75" customHeight="1" spans="1:26">
      <c r="A248" s="100"/>
      <c r="B248" s="101"/>
      <c r="C248" s="100"/>
      <c r="D248" s="100"/>
      <c r="E248" s="100"/>
      <c r="F248" s="100"/>
      <c r="G248" s="100"/>
      <c r="H248" s="100"/>
      <c r="I248" s="100"/>
      <c r="J248" s="100"/>
      <c r="K248" s="100"/>
      <c r="L248" s="100"/>
      <c r="M248" s="100"/>
      <c r="N248" s="100"/>
      <c r="O248" s="100"/>
      <c r="P248" s="100"/>
      <c r="Q248" s="100"/>
      <c r="R248" s="100"/>
      <c r="S248" s="100"/>
      <c r="T248" s="100"/>
      <c r="U248" s="100"/>
      <c r="V248" s="100"/>
      <c r="W248" s="100"/>
      <c r="X248" s="100"/>
      <c r="Y248" s="100"/>
      <c r="Z248" s="100"/>
    </row>
    <row r="249" ht="15.75" customHeight="1" spans="1:26">
      <c r="A249" s="100"/>
      <c r="B249" s="101"/>
      <c r="C249" s="100"/>
      <c r="D249" s="100"/>
      <c r="E249" s="100"/>
      <c r="F249" s="100"/>
      <c r="G249" s="100"/>
      <c r="H249" s="100"/>
      <c r="I249" s="100"/>
      <c r="J249" s="100"/>
      <c r="K249" s="100"/>
      <c r="L249" s="100"/>
      <c r="M249" s="100"/>
      <c r="N249" s="100"/>
      <c r="O249" s="100"/>
      <c r="P249" s="100"/>
      <c r="Q249" s="100"/>
      <c r="R249" s="100"/>
      <c r="S249" s="100"/>
      <c r="T249" s="100"/>
      <c r="U249" s="100"/>
      <c r="V249" s="100"/>
      <c r="W249" s="100"/>
      <c r="X249" s="100"/>
      <c r="Y249" s="100"/>
      <c r="Z249" s="100"/>
    </row>
    <row r="250" ht="15.75" customHeight="1" spans="1:26">
      <c r="A250" s="100"/>
      <c r="B250" s="101"/>
      <c r="C250" s="100"/>
      <c r="D250" s="100"/>
      <c r="E250" s="100"/>
      <c r="F250" s="100"/>
      <c r="G250" s="100"/>
      <c r="H250" s="100"/>
      <c r="I250" s="100"/>
      <c r="J250" s="100"/>
      <c r="K250" s="100"/>
      <c r="L250" s="100"/>
      <c r="M250" s="100"/>
      <c r="N250" s="100"/>
      <c r="O250" s="100"/>
      <c r="P250" s="100"/>
      <c r="Q250" s="100"/>
      <c r="R250" s="100"/>
      <c r="S250" s="100"/>
      <c r="T250" s="100"/>
      <c r="U250" s="100"/>
      <c r="V250" s="100"/>
      <c r="W250" s="100"/>
      <c r="X250" s="100"/>
      <c r="Y250" s="100"/>
      <c r="Z250" s="100"/>
    </row>
    <row r="251" ht="15.75" customHeight="1" spans="1:26">
      <c r="A251" s="100"/>
      <c r="B251" s="101"/>
      <c r="C251" s="100"/>
      <c r="D251" s="100"/>
      <c r="E251" s="100"/>
      <c r="F251" s="100"/>
      <c r="G251" s="100"/>
      <c r="H251" s="100"/>
      <c r="I251" s="100"/>
      <c r="J251" s="100"/>
      <c r="K251" s="100"/>
      <c r="L251" s="100"/>
      <c r="M251" s="100"/>
      <c r="N251" s="100"/>
      <c r="O251" s="100"/>
      <c r="P251" s="100"/>
      <c r="Q251" s="100"/>
      <c r="R251" s="100"/>
      <c r="S251" s="100"/>
      <c r="T251" s="100"/>
      <c r="U251" s="100"/>
      <c r="V251" s="100"/>
      <c r="W251" s="100"/>
      <c r="X251" s="100"/>
      <c r="Y251" s="100"/>
      <c r="Z251" s="100"/>
    </row>
    <row r="252" ht="15.75" customHeight="1" spans="1:26">
      <c r="A252" s="100"/>
      <c r="B252" s="101"/>
      <c r="C252" s="100"/>
      <c r="D252" s="100"/>
      <c r="E252" s="100"/>
      <c r="F252" s="100"/>
      <c r="G252" s="100"/>
      <c r="H252" s="100"/>
      <c r="I252" s="100"/>
      <c r="J252" s="100"/>
      <c r="K252" s="100"/>
      <c r="L252" s="100"/>
      <c r="M252" s="100"/>
      <c r="N252" s="100"/>
      <c r="O252" s="100"/>
      <c r="P252" s="100"/>
      <c r="Q252" s="100"/>
      <c r="R252" s="100"/>
      <c r="S252" s="100"/>
      <c r="T252" s="100"/>
      <c r="U252" s="100"/>
      <c r="V252" s="100"/>
      <c r="W252" s="100"/>
      <c r="X252" s="100"/>
      <c r="Y252" s="100"/>
      <c r="Z252" s="100"/>
    </row>
    <row r="253" ht="15.75" customHeight="1" spans="1:26">
      <c r="A253" s="100"/>
      <c r="B253" s="101"/>
      <c r="C253" s="100"/>
      <c r="D253" s="100"/>
      <c r="E253" s="100"/>
      <c r="F253" s="100"/>
      <c r="G253" s="100"/>
      <c r="H253" s="100"/>
      <c r="I253" s="100"/>
      <c r="J253" s="100"/>
      <c r="K253" s="100"/>
      <c r="L253" s="100"/>
      <c r="M253" s="100"/>
      <c r="N253" s="100"/>
      <c r="O253" s="100"/>
      <c r="P253" s="100"/>
      <c r="Q253" s="100"/>
      <c r="R253" s="100"/>
      <c r="S253" s="100"/>
      <c r="T253" s="100"/>
      <c r="U253" s="100"/>
      <c r="V253" s="100"/>
      <c r="W253" s="100"/>
      <c r="X253" s="100"/>
      <c r="Y253" s="100"/>
      <c r="Z253" s="100"/>
    </row>
    <row r="254" ht="15.75" customHeight="1" spans="1:26">
      <c r="A254" s="100"/>
      <c r="B254" s="101"/>
      <c r="C254" s="100"/>
      <c r="D254" s="100"/>
      <c r="E254" s="100"/>
      <c r="F254" s="100"/>
      <c r="G254" s="100"/>
      <c r="H254" s="100"/>
      <c r="I254" s="100"/>
      <c r="J254" s="100"/>
      <c r="K254" s="100"/>
      <c r="L254" s="100"/>
      <c r="M254" s="100"/>
      <c r="N254" s="100"/>
      <c r="O254" s="100"/>
      <c r="P254" s="100"/>
      <c r="Q254" s="100"/>
      <c r="R254" s="100"/>
      <c r="S254" s="100"/>
      <c r="T254" s="100"/>
      <c r="U254" s="100"/>
      <c r="V254" s="100"/>
      <c r="W254" s="100"/>
      <c r="X254" s="100"/>
      <c r="Y254" s="100"/>
      <c r="Z254" s="100"/>
    </row>
    <row r="255" ht="15.75" customHeight="1" spans="1:26">
      <c r="A255" s="100"/>
      <c r="B255" s="101"/>
      <c r="C255" s="100"/>
      <c r="D255" s="100"/>
      <c r="E255" s="100"/>
      <c r="F255" s="100"/>
      <c r="G255" s="100"/>
      <c r="H255" s="100"/>
      <c r="I255" s="100"/>
      <c r="J255" s="100"/>
      <c r="K255" s="100"/>
      <c r="L255" s="100"/>
      <c r="M255" s="100"/>
      <c r="N255" s="100"/>
      <c r="O255" s="100"/>
      <c r="P255" s="100"/>
      <c r="Q255" s="100"/>
      <c r="R255" s="100"/>
      <c r="S255" s="100"/>
      <c r="T255" s="100"/>
      <c r="U255" s="100"/>
      <c r="V255" s="100"/>
      <c r="W255" s="100"/>
      <c r="X255" s="100"/>
      <c r="Y255" s="100"/>
      <c r="Z255" s="100"/>
    </row>
    <row r="256" ht="15.75" customHeight="1" spans="1:26">
      <c r="A256" s="100"/>
      <c r="B256" s="101"/>
      <c r="C256" s="100"/>
      <c r="D256" s="100"/>
      <c r="E256" s="100"/>
      <c r="F256" s="100"/>
      <c r="G256" s="100"/>
      <c r="H256" s="100"/>
      <c r="I256" s="100"/>
      <c r="J256" s="100"/>
      <c r="K256" s="100"/>
      <c r="L256" s="100"/>
      <c r="M256" s="100"/>
      <c r="N256" s="100"/>
      <c r="O256" s="100"/>
      <c r="P256" s="100"/>
      <c r="Q256" s="100"/>
      <c r="R256" s="100"/>
      <c r="S256" s="100"/>
      <c r="T256" s="100"/>
      <c r="U256" s="100"/>
      <c r="V256" s="100"/>
      <c r="W256" s="100"/>
      <c r="X256" s="100"/>
      <c r="Y256" s="100"/>
      <c r="Z256" s="100"/>
    </row>
    <row r="257" ht="15.75" customHeight="1" spans="1:26">
      <c r="A257" s="100"/>
      <c r="B257" s="101"/>
      <c r="C257" s="100"/>
      <c r="D257" s="100"/>
      <c r="E257" s="100"/>
      <c r="F257" s="100"/>
      <c r="G257" s="100"/>
      <c r="H257" s="100"/>
      <c r="I257" s="100"/>
      <c r="J257" s="100"/>
      <c r="K257" s="100"/>
      <c r="L257" s="100"/>
      <c r="M257" s="100"/>
      <c r="N257" s="100"/>
      <c r="O257" s="100"/>
      <c r="P257" s="100"/>
      <c r="Q257" s="100"/>
      <c r="R257" s="100"/>
      <c r="S257" s="100"/>
      <c r="T257" s="100"/>
      <c r="U257" s="100"/>
      <c r="V257" s="100"/>
      <c r="W257" s="100"/>
      <c r="X257" s="100"/>
      <c r="Y257" s="100"/>
      <c r="Z257" s="100"/>
    </row>
    <row r="258" ht="15.75" customHeight="1" spans="1:26">
      <c r="A258" s="100"/>
      <c r="B258" s="101"/>
      <c r="C258" s="100"/>
      <c r="D258" s="100"/>
      <c r="E258" s="100"/>
      <c r="F258" s="100"/>
      <c r="G258" s="100"/>
      <c r="H258" s="100"/>
      <c r="I258" s="100"/>
      <c r="J258" s="100"/>
      <c r="K258" s="100"/>
      <c r="L258" s="100"/>
      <c r="M258" s="100"/>
      <c r="N258" s="100"/>
      <c r="O258" s="100"/>
      <c r="P258" s="100"/>
      <c r="Q258" s="100"/>
      <c r="R258" s="100"/>
      <c r="S258" s="100"/>
      <c r="T258" s="100"/>
      <c r="U258" s="100"/>
      <c r="V258" s="100"/>
      <c r="W258" s="100"/>
      <c r="X258" s="100"/>
      <c r="Y258" s="100"/>
      <c r="Z258" s="100"/>
    </row>
    <row r="259" ht="15.75" customHeight="1" spans="1:26">
      <c r="A259" s="100"/>
      <c r="B259" s="101"/>
      <c r="C259" s="100"/>
      <c r="D259" s="100"/>
      <c r="E259" s="100"/>
      <c r="F259" s="100"/>
      <c r="G259" s="100"/>
      <c r="H259" s="100"/>
      <c r="I259" s="100"/>
      <c r="J259" s="100"/>
      <c r="K259" s="100"/>
      <c r="L259" s="100"/>
      <c r="M259" s="100"/>
      <c r="N259" s="100"/>
      <c r="O259" s="100"/>
      <c r="P259" s="100"/>
      <c r="Q259" s="100"/>
      <c r="R259" s="100"/>
      <c r="S259" s="100"/>
      <c r="T259" s="100"/>
      <c r="U259" s="100"/>
      <c r="V259" s="100"/>
      <c r="W259" s="100"/>
      <c r="X259" s="100"/>
      <c r="Y259" s="100"/>
      <c r="Z259" s="100"/>
    </row>
    <row r="260" ht="15.75" customHeight="1" spans="1:26">
      <c r="A260" s="100"/>
      <c r="B260" s="101"/>
      <c r="C260" s="100"/>
      <c r="D260" s="100"/>
      <c r="E260" s="100"/>
      <c r="F260" s="100"/>
      <c r="G260" s="100"/>
      <c r="H260" s="100"/>
      <c r="I260" s="100"/>
      <c r="J260" s="100"/>
      <c r="K260" s="100"/>
      <c r="L260" s="100"/>
      <c r="M260" s="100"/>
      <c r="N260" s="100"/>
      <c r="O260" s="100"/>
      <c r="P260" s="100"/>
      <c r="Q260" s="100"/>
      <c r="R260" s="100"/>
      <c r="S260" s="100"/>
      <c r="T260" s="100"/>
      <c r="U260" s="100"/>
      <c r="V260" s="100"/>
      <c r="W260" s="100"/>
      <c r="X260" s="100"/>
      <c r="Y260" s="100"/>
      <c r="Z260" s="100"/>
    </row>
    <row r="261" ht="15.75" customHeight="1" spans="1:26">
      <c r="A261" s="100"/>
      <c r="B261" s="101"/>
      <c r="C261" s="100"/>
      <c r="D261" s="100"/>
      <c r="E261" s="100"/>
      <c r="F261" s="100"/>
      <c r="G261" s="100"/>
      <c r="H261" s="100"/>
      <c r="I261" s="100"/>
      <c r="J261" s="100"/>
      <c r="K261" s="100"/>
      <c r="L261" s="100"/>
      <c r="M261" s="100"/>
      <c r="N261" s="100"/>
      <c r="O261" s="100"/>
      <c r="P261" s="100"/>
      <c r="Q261" s="100"/>
      <c r="R261" s="100"/>
      <c r="S261" s="100"/>
      <c r="T261" s="100"/>
      <c r="U261" s="100"/>
      <c r="V261" s="100"/>
      <c r="W261" s="100"/>
      <c r="X261" s="100"/>
      <c r="Y261" s="100"/>
      <c r="Z261" s="100"/>
    </row>
    <row r="262" ht="15.75" customHeight="1" spans="1:26">
      <c r="A262" s="100"/>
      <c r="B262" s="101"/>
      <c r="C262" s="100"/>
      <c r="D262" s="100"/>
      <c r="E262" s="100"/>
      <c r="F262" s="100"/>
      <c r="G262" s="100"/>
      <c r="H262" s="100"/>
      <c r="I262" s="100"/>
      <c r="J262" s="100"/>
      <c r="K262" s="100"/>
      <c r="L262" s="100"/>
      <c r="M262" s="100"/>
      <c r="N262" s="100"/>
      <c r="O262" s="100"/>
      <c r="P262" s="100"/>
      <c r="Q262" s="100"/>
      <c r="R262" s="100"/>
      <c r="S262" s="100"/>
      <c r="T262" s="100"/>
      <c r="U262" s="100"/>
      <c r="V262" s="100"/>
      <c r="W262" s="100"/>
      <c r="X262" s="100"/>
      <c r="Y262" s="100"/>
      <c r="Z262" s="100"/>
    </row>
    <row r="263" ht="15.75" customHeight="1" spans="1:26">
      <c r="A263" s="100"/>
      <c r="B263" s="101"/>
      <c r="C263" s="100"/>
      <c r="D263" s="100"/>
      <c r="E263" s="100"/>
      <c r="F263" s="100"/>
      <c r="G263" s="100"/>
      <c r="H263" s="100"/>
      <c r="I263" s="100"/>
      <c r="J263" s="100"/>
      <c r="K263" s="100"/>
      <c r="L263" s="100"/>
      <c r="M263" s="100"/>
      <c r="N263" s="100"/>
      <c r="O263" s="100"/>
      <c r="P263" s="100"/>
      <c r="Q263" s="100"/>
      <c r="R263" s="100"/>
      <c r="S263" s="100"/>
      <c r="T263" s="100"/>
      <c r="U263" s="100"/>
      <c r="V263" s="100"/>
      <c r="W263" s="100"/>
      <c r="X263" s="100"/>
      <c r="Y263" s="100"/>
      <c r="Z263" s="100"/>
    </row>
    <row r="264" ht="15.75" customHeight="1" spans="1:26">
      <c r="A264" s="100"/>
      <c r="B264" s="101"/>
      <c r="C264" s="100"/>
      <c r="D264" s="100"/>
      <c r="E264" s="100"/>
      <c r="F264" s="100"/>
      <c r="G264" s="100"/>
      <c r="H264" s="100"/>
      <c r="I264" s="100"/>
      <c r="J264" s="100"/>
      <c r="K264" s="100"/>
      <c r="L264" s="100"/>
      <c r="M264" s="100"/>
      <c r="N264" s="100"/>
      <c r="O264" s="100"/>
      <c r="P264" s="100"/>
      <c r="Q264" s="100"/>
      <c r="R264" s="100"/>
      <c r="S264" s="100"/>
      <c r="T264" s="100"/>
      <c r="U264" s="100"/>
      <c r="V264" s="100"/>
      <c r="W264" s="100"/>
      <c r="X264" s="100"/>
      <c r="Y264" s="100"/>
      <c r="Z264" s="100"/>
    </row>
    <row r="265" ht="15.75" customHeight="1" spans="1:26">
      <c r="A265" s="100"/>
      <c r="B265" s="101"/>
      <c r="C265" s="100"/>
      <c r="D265" s="100"/>
      <c r="E265" s="100"/>
      <c r="F265" s="100"/>
      <c r="G265" s="100"/>
      <c r="H265" s="100"/>
      <c r="I265" s="100"/>
      <c r="J265" s="100"/>
      <c r="K265" s="100"/>
      <c r="L265" s="100"/>
      <c r="M265" s="100"/>
      <c r="N265" s="100"/>
      <c r="O265" s="100"/>
      <c r="P265" s="100"/>
      <c r="Q265" s="100"/>
      <c r="R265" s="100"/>
      <c r="S265" s="100"/>
      <c r="T265" s="100"/>
      <c r="U265" s="100"/>
      <c r="V265" s="100"/>
      <c r="W265" s="100"/>
      <c r="X265" s="100"/>
      <c r="Y265" s="100"/>
      <c r="Z265" s="100"/>
    </row>
    <row r="266" ht="15.75" customHeight="1" spans="1:26">
      <c r="A266" s="100"/>
      <c r="B266" s="101"/>
      <c r="C266" s="100"/>
      <c r="D266" s="100"/>
      <c r="E266" s="100"/>
      <c r="F266" s="100"/>
      <c r="G266" s="100"/>
      <c r="H266" s="100"/>
      <c r="I266" s="100"/>
      <c r="J266" s="100"/>
      <c r="K266" s="100"/>
      <c r="L266" s="100"/>
      <c r="M266" s="100"/>
      <c r="N266" s="100"/>
      <c r="O266" s="100"/>
      <c r="P266" s="100"/>
      <c r="Q266" s="100"/>
      <c r="R266" s="100"/>
      <c r="S266" s="100"/>
      <c r="T266" s="100"/>
      <c r="U266" s="100"/>
      <c r="V266" s="100"/>
      <c r="W266" s="100"/>
      <c r="X266" s="100"/>
      <c r="Y266" s="100"/>
      <c r="Z266" s="100"/>
    </row>
    <row r="267" ht="15.75" customHeight="1" spans="1:26">
      <c r="A267" s="100"/>
      <c r="B267" s="101"/>
      <c r="C267" s="100"/>
      <c r="D267" s="100"/>
      <c r="E267" s="100"/>
      <c r="F267" s="100"/>
      <c r="G267" s="100"/>
      <c r="H267" s="100"/>
      <c r="I267" s="100"/>
      <c r="J267" s="100"/>
      <c r="K267" s="100"/>
      <c r="L267" s="100"/>
      <c r="M267" s="100"/>
      <c r="N267" s="100"/>
      <c r="O267" s="100"/>
      <c r="P267" s="100"/>
      <c r="Q267" s="100"/>
      <c r="R267" s="100"/>
      <c r="S267" s="100"/>
      <c r="T267" s="100"/>
      <c r="U267" s="100"/>
      <c r="V267" s="100"/>
      <c r="W267" s="100"/>
      <c r="X267" s="100"/>
      <c r="Y267" s="100"/>
      <c r="Z267" s="100"/>
    </row>
    <row r="268" ht="15.75" customHeight="1" spans="1:26">
      <c r="A268" s="100"/>
      <c r="B268" s="101"/>
      <c r="C268" s="100"/>
      <c r="D268" s="100"/>
      <c r="E268" s="100"/>
      <c r="F268" s="100"/>
      <c r="G268" s="100"/>
      <c r="H268" s="100"/>
      <c r="I268" s="100"/>
      <c r="J268" s="100"/>
      <c r="K268" s="100"/>
      <c r="L268" s="100"/>
      <c r="M268" s="100"/>
      <c r="N268" s="100"/>
      <c r="O268" s="100"/>
      <c r="P268" s="100"/>
      <c r="Q268" s="100"/>
      <c r="R268" s="100"/>
      <c r="S268" s="100"/>
      <c r="T268" s="100"/>
      <c r="U268" s="100"/>
      <c r="V268" s="100"/>
      <c r="W268" s="100"/>
      <c r="X268" s="100"/>
      <c r="Y268" s="100"/>
      <c r="Z268" s="100"/>
    </row>
    <row r="269" ht="15.75" customHeight="1" spans="1:26">
      <c r="A269" s="100"/>
      <c r="B269" s="101"/>
      <c r="C269" s="100"/>
      <c r="D269" s="100"/>
      <c r="E269" s="100"/>
      <c r="F269" s="100"/>
      <c r="G269" s="100"/>
      <c r="H269" s="100"/>
      <c r="I269" s="100"/>
      <c r="J269" s="100"/>
      <c r="K269" s="100"/>
      <c r="L269" s="100"/>
      <c r="M269" s="100"/>
      <c r="N269" s="100"/>
      <c r="O269" s="100"/>
      <c r="P269" s="100"/>
      <c r="Q269" s="100"/>
      <c r="R269" s="100"/>
      <c r="S269" s="100"/>
      <c r="T269" s="100"/>
      <c r="U269" s="100"/>
      <c r="V269" s="100"/>
      <c r="W269" s="100"/>
      <c r="X269" s="100"/>
      <c r="Y269" s="100"/>
      <c r="Z269" s="100"/>
    </row>
    <row r="270" ht="15.75" customHeight="1" spans="1:26">
      <c r="A270" s="100"/>
      <c r="B270" s="101"/>
      <c r="C270" s="100"/>
      <c r="D270" s="100"/>
      <c r="E270" s="100"/>
      <c r="F270" s="100"/>
      <c r="G270" s="100"/>
      <c r="H270" s="100"/>
      <c r="I270" s="100"/>
      <c r="J270" s="100"/>
      <c r="K270" s="100"/>
      <c r="L270" s="100"/>
      <c r="M270" s="100"/>
      <c r="N270" s="100"/>
      <c r="O270" s="100"/>
      <c r="P270" s="100"/>
      <c r="Q270" s="100"/>
      <c r="R270" s="100"/>
      <c r="S270" s="100"/>
      <c r="T270" s="100"/>
      <c r="U270" s="100"/>
      <c r="V270" s="100"/>
      <c r="W270" s="100"/>
      <c r="X270" s="100"/>
      <c r="Y270" s="100"/>
      <c r="Z270" s="100"/>
    </row>
    <row r="271" ht="15.75" customHeight="1" spans="1:26">
      <c r="A271" s="100"/>
      <c r="B271" s="101"/>
      <c r="C271" s="100"/>
      <c r="D271" s="100"/>
      <c r="E271" s="100"/>
      <c r="F271" s="100"/>
      <c r="G271" s="100"/>
      <c r="H271" s="100"/>
      <c r="I271" s="100"/>
      <c r="J271" s="100"/>
      <c r="K271" s="100"/>
      <c r="L271" s="100"/>
      <c r="M271" s="100"/>
      <c r="N271" s="100"/>
      <c r="O271" s="100"/>
      <c r="P271" s="100"/>
      <c r="Q271" s="100"/>
      <c r="R271" s="100"/>
      <c r="S271" s="100"/>
      <c r="T271" s="100"/>
      <c r="U271" s="100"/>
      <c r="V271" s="100"/>
      <c r="W271" s="100"/>
      <c r="X271" s="100"/>
      <c r="Y271" s="100"/>
      <c r="Z271" s="100"/>
    </row>
    <row r="272" ht="15.75" customHeight="1" spans="1:26">
      <c r="A272" s="100"/>
      <c r="B272" s="101"/>
      <c r="C272" s="100"/>
      <c r="D272" s="100"/>
      <c r="E272" s="100"/>
      <c r="F272" s="100"/>
      <c r="G272" s="100"/>
      <c r="H272" s="100"/>
      <c r="I272" s="100"/>
      <c r="J272" s="100"/>
      <c r="K272" s="100"/>
      <c r="L272" s="100"/>
      <c r="M272" s="100"/>
      <c r="N272" s="100"/>
      <c r="O272" s="100"/>
      <c r="P272" s="100"/>
      <c r="Q272" s="100"/>
      <c r="R272" s="100"/>
      <c r="S272" s="100"/>
      <c r="T272" s="100"/>
      <c r="U272" s="100"/>
      <c r="V272" s="100"/>
      <c r="W272" s="100"/>
      <c r="X272" s="100"/>
      <c r="Y272" s="100"/>
      <c r="Z272" s="100"/>
    </row>
    <row r="273" ht="15.75" customHeight="1" spans="1:26">
      <c r="A273" s="100"/>
      <c r="B273" s="101"/>
      <c r="C273" s="100"/>
      <c r="D273" s="100"/>
      <c r="E273" s="100"/>
      <c r="F273" s="100"/>
      <c r="G273" s="100"/>
      <c r="H273" s="100"/>
      <c r="I273" s="100"/>
      <c r="J273" s="100"/>
      <c r="K273" s="100"/>
      <c r="L273" s="100"/>
      <c r="M273" s="100"/>
      <c r="N273" s="100"/>
      <c r="O273" s="100"/>
      <c r="P273" s="100"/>
      <c r="Q273" s="100"/>
      <c r="R273" s="100"/>
      <c r="S273" s="100"/>
      <c r="T273" s="100"/>
      <c r="U273" s="100"/>
      <c r="V273" s="100"/>
      <c r="W273" s="100"/>
      <c r="X273" s="100"/>
      <c r="Y273" s="100"/>
      <c r="Z273" s="100"/>
    </row>
    <row r="274" ht="15.75" customHeight="1" spans="1:26">
      <c r="A274" s="100"/>
      <c r="B274" s="101"/>
      <c r="C274" s="100"/>
      <c r="D274" s="100"/>
      <c r="E274" s="100"/>
      <c r="F274" s="100"/>
      <c r="G274" s="100"/>
      <c r="H274" s="100"/>
      <c r="I274" s="100"/>
      <c r="J274" s="100"/>
      <c r="K274" s="100"/>
      <c r="L274" s="100"/>
      <c r="M274" s="100"/>
      <c r="N274" s="100"/>
      <c r="O274" s="100"/>
      <c r="P274" s="100"/>
      <c r="Q274" s="100"/>
      <c r="R274" s="100"/>
      <c r="S274" s="100"/>
      <c r="T274" s="100"/>
      <c r="U274" s="100"/>
      <c r="V274" s="100"/>
      <c r="W274" s="100"/>
      <c r="X274" s="100"/>
      <c r="Y274" s="100"/>
      <c r="Z274" s="100"/>
    </row>
    <row r="275" ht="15.75" customHeight="1" spans="1:26">
      <c r="A275" s="100"/>
      <c r="B275" s="101"/>
      <c r="C275" s="100"/>
      <c r="D275" s="100"/>
      <c r="E275" s="100"/>
      <c r="F275" s="100"/>
      <c r="G275" s="100"/>
      <c r="H275" s="100"/>
      <c r="I275" s="100"/>
      <c r="J275" s="100"/>
      <c r="K275" s="100"/>
      <c r="L275" s="100"/>
      <c r="M275" s="100"/>
      <c r="N275" s="100"/>
      <c r="O275" s="100"/>
      <c r="P275" s="100"/>
      <c r="Q275" s="100"/>
      <c r="R275" s="100"/>
      <c r="S275" s="100"/>
      <c r="T275" s="100"/>
      <c r="U275" s="100"/>
      <c r="V275" s="100"/>
      <c r="W275" s="100"/>
      <c r="X275" s="100"/>
      <c r="Y275" s="100"/>
      <c r="Z275" s="100"/>
    </row>
    <row r="276" ht="15.75" customHeight="1" spans="1:26">
      <c r="A276" s="100"/>
      <c r="B276" s="101"/>
      <c r="C276" s="100"/>
      <c r="D276" s="100"/>
      <c r="E276" s="100"/>
      <c r="F276" s="100"/>
      <c r="G276" s="100"/>
      <c r="H276" s="100"/>
      <c r="I276" s="100"/>
      <c r="J276" s="100"/>
      <c r="K276" s="100"/>
      <c r="L276" s="100"/>
      <c r="M276" s="100"/>
      <c r="N276" s="100"/>
      <c r="O276" s="100"/>
      <c r="P276" s="100"/>
      <c r="Q276" s="100"/>
      <c r="R276" s="100"/>
      <c r="S276" s="100"/>
      <c r="T276" s="100"/>
      <c r="U276" s="100"/>
      <c r="V276" s="100"/>
      <c r="W276" s="100"/>
      <c r="X276" s="100"/>
      <c r="Y276" s="100"/>
      <c r="Z276" s="100"/>
    </row>
    <row r="277" ht="15.75" customHeight="1" spans="1:26">
      <c r="A277" s="100"/>
      <c r="B277" s="101"/>
      <c r="C277" s="100"/>
      <c r="D277" s="100"/>
      <c r="E277" s="100"/>
      <c r="F277" s="100"/>
      <c r="G277" s="100"/>
      <c r="H277" s="100"/>
      <c r="I277" s="100"/>
      <c r="J277" s="100"/>
      <c r="K277" s="100"/>
      <c r="L277" s="100"/>
      <c r="M277" s="100"/>
      <c r="N277" s="100"/>
      <c r="O277" s="100"/>
      <c r="P277" s="100"/>
      <c r="Q277" s="100"/>
      <c r="R277" s="100"/>
      <c r="S277" s="100"/>
      <c r="T277" s="100"/>
      <c r="U277" s="100"/>
      <c r="V277" s="100"/>
      <c r="W277" s="100"/>
      <c r="X277" s="100"/>
      <c r="Y277" s="100"/>
      <c r="Z277" s="100"/>
    </row>
    <row r="278" ht="15.75" customHeight="1" spans="1:26">
      <c r="A278" s="100"/>
      <c r="B278" s="101"/>
      <c r="C278" s="100"/>
      <c r="D278" s="100"/>
      <c r="E278" s="100"/>
      <c r="F278" s="100"/>
      <c r="G278" s="100"/>
      <c r="H278" s="100"/>
      <c r="I278" s="100"/>
      <c r="J278" s="100"/>
      <c r="K278" s="100"/>
      <c r="L278" s="100"/>
      <c r="M278" s="100"/>
      <c r="N278" s="100"/>
      <c r="O278" s="100"/>
      <c r="P278" s="100"/>
      <c r="Q278" s="100"/>
      <c r="R278" s="100"/>
      <c r="S278" s="100"/>
      <c r="T278" s="100"/>
      <c r="U278" s="100"/>
      <c r="V278" s="100"/>
      <c r="W278" s="100"/>
      <c r="X278" s="100"/>
      <c r="Y278" s="100"/>
      <c r="Z278" s="100"/>
    </row>
    <row r="279" ht="15.75" customHeight="1" spans="1:26">
      <c r="A279" s="100"/>
      <c r="B279" s="101"/>
      <c r="C279" s="100"/>
      <c r="D279" s="100"/>
      <c r="E279" s="100"/>
      <c r="F279" s="100"/>
      <c r="G279" s="100"/>
      <c r="H279" s="100"/>
      <c r="I279" s="100"/>
      <c r="J279" s="100"/>
      <c r="K279" s="100"/>
      <c r="L279" s="100"/>
      <c r="M279" s="100"/>
      <c r="N279" s="100"/>
      <c r="O279" s="100"/>
      <c r="P279" s="100"/>
      <c r="Q279" s="100"/>
      <c r="R279" s="100"/>
      <c r="S279" s="100"/>
      <c r="T279" s="100"/>
      <c r="U279" s="100"/>
      <c r="V279" s="100"/>
      <c r="W279" s="100"/>
      <c r="X279" s="100"/>
      <c r="Y279" s="100"/>
      <c r="Z279" s="100"/>
    </row>
    <row r="280" ht="15.75" customHeight="1" spans="1:26">
      <c r="A280" s="100"/>
      <c r="B280" s="101"/>
      <c r="C280" s="100"/>
      <c r="D280" s="100"/>
      <c r="E280" s="100"/>
      <c r="F280" s="100"/>
      <c r="G280" s="100"/>
      <c r="H280" s="100"/>
      <c r="I280" s="100"/>
      <c r="J280" s="100"/>
      <c r="K280" s="100"/>
      <c r="L280" s="100"/>
      <c r="M280" s="100"/>
      <c r="N280" s="100"/>
      <c r="O280" s="100"/>
      <c r="P280" s="100"/>
      <c r="Q280" s="100"/>
      <c r="R280" s="100"/>
      <c r="S280" s="100"/>
      <c r="T280" s="100"/>
      <c r="U280" s="100"/>
      <c r="V280" s="100"/>
      <c r="W280" s="100"/>
      <c r="X280" s="100"/>
      <c r="Y280" s="100"/>
      <c r="Z280" s="100"/>
    </row>
    <row r="281" ht="15.75" customHeight="1" spans="1:26">
      <c r="A281" s="100"/>
      <c r="B281" s="101"/>
      <c r="C281" s="100"/>
      <c r="D281" s="100"/>
      <c r="E281" s="100"/>
      <c r="F281" s="100"/>
      <c r="G281" s="100"/>
      <c r="H281" s="100"/>
      <c r="I281" s="100"/>
      <c r="J281" s="100"/>
      <c r="K281" s="100"/>
      <c r="L281" s="100"/>
      <c r="M281" s="100"/>
      <c r="N281" s="100"/>
      <c r="O281" s="100"/>
      <c r="P281" s="100"/>
      <c r="Q281" s="100"/>
      <c r="R281" s="100"/>
      <c r="S281" s="100"/>
      <c r="T281" s="100"/>
      <c r="U281" s="100"/>
      <c r="V281" s="100"/>
      <c r="W281" s="100"/>
      <c r="X281" s="100"/>
      <c r="Y281" s="100"/>
      <c r="Z281" s="100"/>
    </row>
    <row r="282" ht="15.75" customHeight="1" spans="1:26">
      <c r="A282" s="100"/>
      <c r="B282" s="101"/>
      <c r="C282" s="100"/>
      <c r="D282" s="100"/>
      <c r="E282" s="100"/>
      <c r="F282" s="100"/>
      <c r="G282" s="100"/>
      <c r="H282" s="100"/>
      <c r="I282" s="100"/>
      <c r="J282" s="100"/>
      <c r="K282" s="100"/>
      <c r="L282" s="100"/>
      <c r="M282" s="100"/>
      <c r="N282" s="100"/>
      <c r="O282" s="100"/>
      <c r="P282" s="100"/>
      <c r="Q282" s="100"/>
      <c r="R282" s="100"/>
      <c r="S282" s="100"/>
      <c r="T282" s="100"/>
      <c r="U282" s="100"/>
      <c r="V282" s="100"/>
      <c r="W282" s="100"/>
      <c r="X282" s="100"/>
      <c r="Y282" s="100"/>
      <c r="Z282" s="100"/>
    </row>
    <row r="283" ht="15.75" customHeight="1" spans="1:26">
      <c r="A283" s="100"/>
      <c r="B283" s="101"/>
      <c r="C283" s="100"/>
      <c r="D283" s="100"/>
      <c r="E283" s="100"/>
      <c r="F283" s="100"/>
      <c r="G283" s="100"/>
      <c r="H283" s="100"/>
      <c r="I283" s="100"/>
      <c r="J283" s="100"/>
      <c r="K283" s="100"/>
      <c r="L283" s="100"/>
      <c r="M283" s="100"/>
      <c r="N283" s="100"/>
      <c r="O283" s="100"/>
      <c r="P283" s="100"/>
      <c r="Q283" s="100"/>
      <c r="R283" s="100"/>
      <c r="S283" s="100"/>
      <c r="T283" s="100"/>
      <c r="U283" s="100"/>
      <c r="V283" s="100"/>
      <c r="W283" s="100"/>
      <c r="X283" s="100"/>
      <c r="Y283" s="100"/>
      <c r="Z283" s="100"/>
    </row>
    <row r="284" ht="15.75" customHeight="1" spans="1:26">
      <c r="A284" s="100"/>
      <c r="B284" s="101"/>
      <c r="C284" s="100"/>
      <c r="D284" s="100"/>
      <c r="E284" s="100"/>
      <c r="F284" s="100"/>
      <c r="G284" s="100"/>
      <c r="H284" s="100"/>
      <c r="I284" s="100"/>
      <c r="J284" s="100"/>
      <c r="K284" s="100"/>
      <c r="L284" s="100"/>
      <c r="M284" s="100"/>
      <c r="N284" s="100"/>
      <c r="O284" s="100"/>
      <c r="P284" s="100"/>
      <c r="Q284" s="100"/>
      <c r="R284" s="100"/>
      <c r="S284" s="100"/>
      <c r="T284" s="100"/>
      <c r="U284" s="100"/>
      <c r="V284" s="100"/>
      <c r="W284" s="100"/>
      <c r="X284" s="100"/>
      <c r="Y284" s="100"/>
      <c r="Z284" s="100"/>
    </row>
    <row r="285" ht="15.75" customHeight="1" spans="1:26">
      <c r="A285" s="100"/>
      <c r="B285" s="101"/>
      <c r="C285" s="100"/>
      <c r="D285" s="100"/>
      <c r="E285" s="100"/>
      <c r="F285" s="100"/>
      <c r="G285" s="100"/>
      <c r="H285" s="100"/>
      <c r="I285" s="100"/>
      <c r="J285" s="100"/>
      <c r="K285" s="100"/>
      <c r="L285" s="100"/>
      <c r="M285" s="100"/>
      <c r="N285" s="100"/>
      <c r="O285" s="100"/>
      <c r="P285" s="100"/>
      <c r="Q285" s="100"/>
      <c r="R285" s="100"/>
      <c r="S285" s="100"/>
      <c r="T285" s="100"/>
      <c r="U285" s="100"/>
      <c r="V285" s="100"/>
      <c r="W285" s="100"/>
      <c r="X285" s="100"/>
      <c r="Y285" s="100"/>
      <c r="Z285" s="100"/>
    </row>
    <row r="286" ht="15.75" customHeight="1" spans="1:26">
      <c r="A286" s="100"/>
      <c r="B286" s="101"/>
      <c r="C286" s="100"/>
      <c r="D286" s="100"/>
      <c r="E286" s="100"/>
      <c r="F286" s="100"/>
      <c r="G286" s="100"/>
      <c r="H286" s="100"/>
      <c r="I286" s="100"/>
      <c r="J286" s="100"/>
      <c r="K286" s="100"/>
      <c r="L286" s="100"/>
      <c r="M286" s="100"/>
      <c r="N286" s="100"/>
      <c r="O286" s="100"/>
      <c r="P286" s="100"/>
      <c r="Q286" s="100"/>
      <c r="R286" s="100"/>
      <c r="S286" s="100"/>
      <c r="T286" s="100"/>
      <c r="U286" s="100"/>
      <c r="V286" s="100"/>
      <c r="W286" s="100"/>
      <c r="X286" s="100"/>
      <c r="Y286" s="100"/>
      <c r="Z286" s="100"/>
    </row>
    <row r="287" ht="15.75" customHeight="1" spans="1:26">
      <c r="A287" s="100"/>
      <c r="B287" s="101"/>
      <c r="C287" s="100"/>
      <c r="D287" s="100"/>
      <c r="E287" s="100"/>
      <c r="F287" s="100"/>
      <c r="G287" s="100"/>
      <c r="H287" s="100"/>
      <c r="I287" s="100"/>
      <c r="J287" s="100"/>
      <c r="K287" s="100"/>
      <c r="L287" s="100"/>
      <c r="M287" s="100"/>
      <c r="N287" s="100"/>
      <c r="O287" s="100"/>
      <c r="P287" s="100"/>
      <c r="Q287" s="100"/>
      <c r="R287" s="100"/>
      <c r="S287" s="100"/>
      <c r="T287" s="100"/>
      <c r="U287" s="100"/>
      <c r="V287" s="100"/>
      <c r="W287" s="100"/>
      <c r="X287" s="100"/>
      <c r="Y287" s="100"/>
      <c r="Z287" s="100"/>
    </row>
    <row r="288" ht="15.75" customHeight="1" spans="1:26">
      <c r="A288" s="100"/>
      <c r="B288" s="101"/>
      <c r="C288" s="100"/>
      <c r="D288" s="100"/>
      <c r="E288" s="100"/>
      <c r="F288" s="100"/>
      <c r="G288" s="100"/>
      <c r="H288" s="100"/>
      <c r="I288" s="100"/>
      <c r="J288" s="100"/>
      <c r="K288" s="100"/>
      <c r="L288" s="100"/>
      <c r="M288" s="100"/>
      <c r="N288" s="100"/>
      <c r="O288" s="100"/>
      <c r="P288" s="100"/>
      <c r="Q288" s="100"/>
      <c r="R288" s="100"/>
      <c r="S288" s="100"/>
      <c r="T288" s="100"/>
      <c r="U288" s="100"/>
      <c r="V288" s="100"/>
      <c r="W288" s="100"/>
      <c r="X288" s="100"/>
      <c r="Y288" s="100"/>
      <c r="Z288" s="100"/>
    </row>
    <row r="289" ht="15.75" customHeight="1" spans="1:26">
      <c r="A289" s="100"/>
      <c r="B289" s="101"/>
      <c r="C289" s="100"/>
      <c r="D289" s="100"/>
      <c r="E289" s="100"/>
      <c r="F289" s="100"/>
      <c r="G289" s="100"/>
      <c r="H289" s="100"/>
      <c r="I289" s="100"/>
      <c r="J289" s="100"/>
      <c r="K289" s="100"/>
      <c r="L289" s="100"/>
      <c r="M289" s="100"/>
      <c r="N289" s="100"/>
      <c r="O289" s="100"/>
      <c r="P289" s="100"/>
      <c r="Q289" s="100"/>
      <c r="R289" s="100"/>
      <c r="S289" s="100"/>
      <c r="T289" s="100"/>
      <c r="U289" s="100"/>
      <c r="V289" s="100"/>
      <c r="W289" s="100"/>
      <c r="X289" s="100"/>
      <c r="Y289" s="100"/>
      <c r="Z289" s="100"/>
    </row>
    <row r="290" ht="15.75" customHeight="1" spans="1:26">
      <c r="A290" s="100"/>
      <c r="B290" s="101"/>
      <c r="C290" s="100"/>
      <c r="D290" s="100"/>
      <c r="E290" s="100"/>
      <c r="F290" s="100"/>
      <c r="G290" s="100"/>
      <c r="H290" s="100"/>
      <c r="I290" s="100"/>
      <c r="J290" s="100"/>
      <c r="K290" s="100"/>
      <c r="L290" s="100"/>
      <c r="M290" s="100"/>
      <c r="N290" s="100"/>
      <c r="O290" s="100"/>
      <c r="P290" s="100"/>
      <c r="Q290" s="100"/>
      <c r="R290" s="100"/>
      <c r="S290" s="100"/>
      <c r="T290" s="100"/>
      <c r="U290" s="100"/>
      <c r="V290" s="100"/>
      <c r="W290" s="100"/>
      <c r="X290" s="100"/>
      <c r="Y290" s="100"/>
      <c r="Z290" s="100"/>
    </row>
    <row r="291" ht="15.75" customHeight="1" spans="1:26">
      <c r="A291" s="100"/>
      <c r="B291" s="101"/>
      <c r="C291" s="100"/>
      <c r="D291" s="100"/>
      <c r="E291" s="100"/>
      <c r="F291" s="100"/>
      <c r="G291" s="100"/>
      <c r="H291" s="100"/>
      <c r="I291" s="100"/>
      <c r="J291" s="100"/>
      <c r="K291" s="100"/>
      <c r="L291" s="100"/>
      <c r="M291" s="100"/>
      <c r="N291" s="100"/>
      <c r="O291" s="100"/>
      <c r="P291" s="100"/>
      <c r="Q291" s="100"/>
      <c r="R291" s="100"/>
      <c r="S291" s="100"/>
      <c r="T291" s="100"/>
      <c r="U291" s="100"/>
      <c r="V291" s="100"/>
      <c r="W291" s="100"/>
      <c r="X291" s="100"/>
      <c r="Y291" s="100"/>
      <c r="Z291" s="100"/>
    </row>
    <row r="292" ht="15.75" customHeight="1" spans="1:26">
      <c r="A292" s="100"/>
      <c r="B292" s="101"/>
      <c r="C292" s="100"/>
      <c r="D292" s="100"/>
      <c r="E292" s="100"/>
      <c r="F292" s="100"/>
      <c r="G292" s="100"/>
      <c r="H292" s="100"/>
      <c r="I292" s="100"/>
      <c r="J292" s="100"/>
      <c r="K292" s="100"/>
      <c r="L292" s="100"/>
      <c r="M292" s="100"/>
      <c r="N292" s="100"/>
      <c r="O292" s="100"/>
      <c r="P292" s="100"/>
      <c r="Q292" s="100"/>
      <c r="R292" s="100"/>
      <c r="S292" s="100"/>
      <c r="T292" s="100"/>
      <c r="U292" s="100"/>
      <c r="V292" s="100"/>
      <c r="W292" s="100"/>
      <c r="X292" s="100"/>
      <c r="Y292" s="100"/>
      <c r="Z292" s="100"/>
    </row>
    <row r="293" ht="15.75" customHeight="1" spans="1:26">
      <c r="A293" s="100"/>
      <c r="B293" s="101"/>
      <c r="C293" s="100"/>
      <c r="D293" s="100"/>
      <c r="E293" s="100"/>
      <c r="F293" s="100"/>
      <c r="G293" s="100"/>
      <c r="H293" s="100"/>
      <c r="I293" s="100"/>
      <c r="J293" s="100"/>
      <c r="K293" s="100"/>
      <c r="L293" s="100"/>
      <c r="M293" s="100"/>
      <c r="N293" s="100"/>
      <c r="O293" s="100"/>
      <c r="P293" s="100"/>
      <c r="Q293" s="100"/>
      <c r="R293" s="100"/>
      <c r="S293" s="100"/>
      <c r="T293" s="100"/>
      <c r="U293" s="100"/>
      <c r="V293" s="100"/>
      <c r="W293" s="100"/>
      <c r="X293" s="100"/>
      <c r="Y293" s="100"/>
      <c r="Z293" s="100"/>
    </row>
    <row r="294" ht="15.75" customHeight="1" spans="1:26">
      <c r="A294" s="100"/>
      <c r="B294" s="101"/>
      <c r="C294" s="100"/>
      <c r="D294" s="100"/>
      <c r="E294" s="100"/>
      <c r="F294" s="100"/>
      <c r="G294" s="100"/>
      <c r="H294" s="100"/>
      <c r="I294" s="100"/>
      <c r="J294" s="100"/>
      <c r="K294" s="100"/>
      <c r="L294" s="100"/>
      <c r="M294" s="100"/>
      <c r="N294" s="100"/>
      <c r="O294" s="100"/>
      <c r="P294" s="100"/>
      <c r="Q294" s="100"/>
      <c r="R294" s="100"/>
      <c r="S294" s="100"/>
      <c r="T294" s="100"/>
      <c r="U294" s="100"/>
      <c r="V294" s="100"/>
      <c r="W294" s="100"/>
      <c r="X294" s="100"/>
      <c r="Y294" s="100"/>
      <c r="Z294" s="100"/>
    </row>
    <row r="295" ht="15.75" customHeight="1" spans="1:26">
      <c r="A295" s="100"/>
      <c r="B295" s="101"/>
      <c r="C295" s="100"/>
      <c r="D295" s="100"/>
      <c r="E295" s="100"/>
      <c r="F295" s="100"/>
      <c r="G295" s="100"/>
      <c r="H295" s="100"/>
      <c r="I295" s="100"/>
      <c r="J295" s="100"/>
      <c r="K295" s="100"/>
      <c r="L295" s="100"/>
      <c r="M295" s="100"/>
      <c r="N295" s="100"/>
      <c r="O295" s="100"/>
      <c r="P295" s="100"/>
      <c r="Q295" s="100"/>
      <c r="R295" s="100"/>
      <c r="S295" s="100"/>
      <c r="T295" s="100"/>
      <c r="U295" s="100"/>
      <c r="V295" s="100"/>
      <c r="W295" s="100"/>
      <c r="X295" s="100"/>
      <c r="Y295" s="100"/>
      <c r="Z295" s="100"/>
    </row>
    <row r="296" ht="15.75" customHeight="1" spans="1:26">
      <c r="A296" s="100"/>
      <c r="B296" s="101"/>
      <c r="C296" s="100"/>
      <c r="D296" s="100"/>
      <c r="E296" s="100"/>
      <c r="F296" s="100"/>
      <c r="G296" s="100"/>
      <c r="H296" s="100"/>
      <c r="I296" s="100"/>
      <c r="J296" s="100"/>
      <c r="K296" s="100"/>
      <c r="L296" s="100"/>
      <c r="M296" s="100"/>
      <c r="N296" s="100"/>
      <c r="O296" s="100"/>
      <c r="P296" s="100"/>
      <c r="Q296" s="100"/>
      <c r="R296" s="100"/>
      <c r="S296" s="100"/>
      <c r="T296" s="100"/>
      <c r="U296" s="100"/>
      <c r="V296" s="100"/>
      <c r="W296" s="100"/>
      <c r="X296" s="100"/>
      <c r="Y296" s="100"/>
      <c r="Z296" s="100"/>
    </row>
    <row r="297" ht="15.75" customHeight="1" spans="1:26">
      <c r="A297" s="100"/>
      <c r="B297" s="101"/>
      <c r="C297" s="100"/>
      <c r="D297" s="100"/>
      <c r="E297" s="100"/>
      <c r="F297" s="100"/>
      <c r="G297" s="100"/>
      <c r="H297" s="100"/>
      <c r="I297" s="100"/>
      <c r="J297" s="100"/>
      <c r="K297" s="100"/>
      <c r="L297" s="100"/>
      <c r="M297" s="100"/>
      <c r="N297" s="100"/>
      <c r="O297" s="100"/>
      <c r="P297" s="100"/>
      <c r="Q297" s="100"/>
      <c r="R297" s="100"/>
      <c r="S297" s="100"/>
      <c r="T297" s="100"/>
      <c r="U297" s="100"/>
      <c r="V297" s="100"/>
      <c r="W297" s="100"/>
      <c r="X297" s="100"/>
      <c r="Y297" s="100"/>
      <c r="Z297" s="100"/>
    </row>
    <row r="298" ht="15.75" customHeight="1" spans="1:26">
      <c r="A298" s="100"/>
      <c r="B298" s="101"/>
      <c r="C298" s="100"/>
      <c r="D298" s="100"/>
      <c r="E298" s="100"/>
      <c r="F298" s="100"/>
      <c r="G298" s="100"/>
      <c r="H298" s="100"/>
      <c r="I298" s="100"/>
      <c r="J298" s="100"/>
      <c r="K298" s="100"/>
      <c r="L298" s="100"/>
      <c r="M298" s="100"/>
      <c r="N298" s="100"/>
      <c r="O298" s="100"/>
      <c r="P298" s="100"/>
      <c r="Q298" s="100"/>
      <c r="R298" s="100"/>
      <c r="S298" s="100"/>
      <c r="T298" s="100"/>
      <c r="U298" s="100"/>
      <c r="V298" s="100"/>
      <c r="W298" s="100"/>
      <c r="X298" s="100"/>
      <c r="Y298" s="100"/>
      <c r="Z298" s="100"/>
    </row>
    <row r="299" ht="15.75" customHeight="1" spans="1:26">
      <c r="A299" s="100"/>
      <c r="B299" s="101"/>
      <c r="C299" s="100"/>
      <c r="D299" s="100"/>
      <c r="E299" s="100"/>
      <c r="F299" s="100"/>
      <c r="G299" s="100"/>
      <c r="H299" s="100"/>
      <c r="I299" s="100"/>
      <c r="J299" s="100"/>
      <c r="K299" s="100"/>
      <c r="L299" s="100"/>
      <c r="M299" s="100"/>
      <c r="N299" s="100"/>
      <c r="O299" s="100"/>
      <c r="P299" s="100"/>
      <c r="Q299" s="100"/>
      <c r="R299" s="100"/>
      <c r="S299" s="100"/>
      <c r="T299" s="100"/>
      <c r="U299" s="100"/>
      <c r="V299" s="100"/>
      <c r="W299" s="100"/>
      <c r="X299" s="100"/>
      <c r="Y299" s="100"/>
      <c r="Z299" s="100"/>
    </row>
    <row r="300" ht="15.75" customHeight="1" spans="1:26">
      <c r="A300" s="100"/>
      <c r="B300" s="101"/>
      <c r="C300" s="100"/>
      <c r="D300" s="100"/>
      <c r="E300" s="100"/>
      <c r="F300" s="100"/>
      <c r="G300" s="100"/>
      <c r="H300" s="100"/>
      <c r="I300" s="100"/>
      <c r="J300" s="100"/>
      <c r="K300" s="100"/>
      <c r="L300" s="100"/>
      <c r="M300" s="100"/>
      <c r="N300" s="100"/>
      <c r="O300" s="100"/>
      <c r="P300" s="100"/>
      <c r="Q300" s="100"/>
      <c r="R300" s="100"/>
      <c r="S300" s="100"/>
      <c r="T300" s="100"/>
      <c r="U300" s="100"/>
      <c r="V300" s="100"/>
      <c r="W300" s="100"/>
      <c r="X300" s="100"/>
      <c r="Y300" s="100"/>
      <c r="Z300" s="100"/>
    </row>
    <row r="301" ht="15.75" customHeight="1" spans="1:26">
      <c r="A301" s="100"/>
      <c r="B301" s="101"/>
      <c r="C301" s="100"/>
      <c r="D301" s="100"/>
      <c r="E301" s="100"/>
      <c r="F301" s="100"/>
      <c r="G301" s="100"/>
      <c r="H301" s="100"/>
      <c r="I301" s="100"/>
      <c r="J301" s="100"/>
      <c r="K301" s="100"/>
      <c r="L301" s="100"/>
      <c r="M301" s="100"/>
      <c r="N301" s="100"/>
      <c r="O301" s="100"/>
      <c r="P301" s="100"/>
      <c r="Q301" s="100"/>
      <c r="R301" s="100"/>
      <c r="S301" s="100"/>
      <c r="T301" s="100"/>
      <c r="U301" s="100"/>
      <c r="V301" s="100"/>
      <c r="W301" s="100"/>
      <c r="X301" s="100"/>
      <c r="Y301" s="100"/>
      <c r="Z301" s="100"/>
    </row>
    <row r="302" ht="15.75" customHeight="1" spans="1:26">
      <c r="A302" s="100"/>
      <c r="B302" s="101"/>
      <c r="C302" s="100"/>
      <c r="D302" s="100"/>
      <c r="E302" s="100"/>
      <c r="F302" s="100"/>
      <c r="G302" s="100"/>
      <c r="H302" s="100"/>
      <c r="I302" s="100"/>
      <c r="J302" s="100"/>
      <c r="K302" s="100"/>
      <c r="L302" s="100"/>
      <c r="M302" s="100"/>
      <c r="N302" s="100"/>
      <c r="O302" s="100"/>
      <c r="P302" s="100"/>
      <c r="Q302" s="100"/>
      <c r="R302" s="100"/>
      <c r="S302" s="100"/>
      <c r="T302" s="100"/>
      <c r="U302" s="100"/>
      <c r="V302" s="100"/>
      <c r="W302" s="100"/>
      <c r="X302" s="100"/>
      <c r="Y302" s="100"/>
      <c r="Z302" s="100"/>
    </row>
    <row r="303" ht="15.75" customHeight="1" spans="1:26">
      <c r="A303" s="100"/>
      <c r="B303" s="101"/>
      <c r="C303" s="100"/>
      <c r="D303" s="100"/>
      <c r="E303" s="100"/>
      <c r="F303" s="100"/>
      <c r="G303" s="100"/>
      <c r="H303" s="100"/>
      <c r="I303" s="100"/>
      <c r="J303" s="100"/>
      <c r="K303" s="100"/>
      <c r="L303" s="100"/>
      <c r="M303" s="100"/>
      <c r="N303" s="100"/>
      <c r="O303" s="100"/>
      <c r="P303" s="100"/>
      <c r="Q303" s="100"/>
      <c r="R303" s="100"/>
      <c r="S303" s="100"/>
      <c r="T303" s="100"/>
      <c r="U303" s="100"/>
      <c r="V303" s="100"/>
      <c r="W303" s="100"/>
      <c r="X303" s="100"/>
      <c r="Y303" s="100"/>
      <c r="Z303" s="100"/>
    </row>
    <row r="304" ht="15.75" customHeight="1" spans="1:26">
      <c r="A304" s="100"/>
      <c r="B304" s="101"/>
      <c r="C304" s="100"/>
      <c r="D304" s="100"/>
      <c r="E304" s="100"/>
      <c r="F304" s="100"/>
      <c r="G304" s="100"/>
      <c r="H304" s="100"/>
      <c r="I304" s="100"/>
      <c r="J304" s="100"/>
      <c r="K304" s="100"/>
      <c r="L304" s="100"/>
      <c r="M304" s="100"/>
      <c r="N304" s="100"/>
      <c r="O304" s="100"/>
      <c r="P304" s="100"/>
      <c r="Q304" s="100"/>
      <c r="R304" s="100"/>
      <c r="S304" s="100"/>
      <c r="T304" s="100"/>
      <c r="U304" s="100"/>
      <c r="V304" s="100"/>
      <c r="W304" s="100"/>
      <c r="X304" s="100"/>
      <c r="Y304" s="100"/>
      <c r="Z304" s="100"/>
    </row>
    <row r="305" ht="15.75" customHeight="1" spans="1:26">
      <c r="A305" s="100"/>
      <c r="B305" s="101"/>
      <c r="C305" s="100"/>
      <c r="D305" s="100"/>
      <c r="E305" s="100"/>
      <c r="F305" s="100"/>
      <c r="G305" s="100"/>
      <c r="H305" s="100"/>
      <c r="I305" s="100"/>
      <c r="J305" s="100"/>
      <c r="K305" s="100"/>
      <c r="L305" s="100"/>
      <c r="M305" s="100"/>
      <c r="N305" s="100"/>
      <c r="O305" s="100"/>
      <c r="P305" s="100"/>
      <c r="Q305" s="100"/>
      <c r="R305" s="100"/>
      <c r="S305" s="100"/>
      <c r="T305" s="100"/>
      <c r="U305" s="100"/>
      <c r="V305" s="100"/>
      <c r="W305" s="100"/>
      <c r="X305" s="100"/>
      <c r="Y305" s="100"/>
      <c r="Z305" s="100"/>
    </row>
    <row r="306" ht="15.75" customHeight="1" spans="1:26">
      <c r="A306" s="100"/>
      <c r="B306" s="101"/>
      <c r="C306" s="100"/>
      <c r="D306" s="100"/>
      <c r="E306" s="100"/>
      <c r="F306" s="100"/>
      <c r="G306" s="100"/>
      <c r="H306" s="100"/>
      <c r="I306" s="100"/>
      <c r="J306" s="100"/>
      <c r="K306" s="100"/>
      <c r="L306" s="100"/>
      <c r="M306" s="100"/>
      <c r="N306" s="100"/>
      <c r="O306" s="100"/>
      <c r="P306" s="100"/>
      <c r="Q306" s="100"/>
      <c r="R306" s="100"/>
      <c r="S306" s="100"/>
      <c r="T306" s="100"/>
      <c r="U306" s="100"/>
      <c r="V306" s="100"/>
      <c r="W306" s="100"/>
      <c r="X306" s="100"/>
      <c r="Y306" s="100"/>
      <c r="Z306" s="100"/>
    </row>
    <row r="307" ht="15.75" customHeight="1" spans="1:26">
      <c r="A307" s="100"/>
      <c r="B307" s="101"/>
      <c r="C307" s="100"/>
      <c r="D307" s="100"/>
      <c r="E307" s="100"/>
      <c r="F307" s="100"/>
      <c r="G307" s="100"/>
      <c r="H307" s="100"/>
      <c r="I307" s="100"/>
      <c r="J307" s="100"/>
      <c r="K307" s="100"/>
      <c r="L307" s="100"/>
      <c r="M307" s="100"/>
      <c r="N307" s="100"/>
      <c r="O307" s="100"/>
      <c r="P307" s="100"/>
      <c r="Q307" s="100"/>
      <c r="R307" s="100"/>
      <c r="S307" s="100"/>
      <c r="T307" s="100"/>
      <c r="U307" s="100"/>
      <c r="V307" s="100"/>
      <c r="W307" s="100"/>
      <c r="X307" s="100"/>
      <c r="Y307" s="100"/>
      <c r="Z307" s="100"/>
    </row>
    <row r="308" ht="15.75" customHeight="1" spans="1:26">
      <c r="A308" s="100"/>
      <c r="B308" s="101"/>
      <c r="C308" s="100"/>
      <c r="D308" s="100"/>
      <c r="E308" s="100"/>
      <c r="F308" s="100"/>
      <c r="G308" s="100"/>
      <c r="H308" s="100"/>
      <c r="I308" s="100"/>
      <c r="J308" s="100"/>
      <c r="K308" s="100"/>
      <c r="L308" s="100"/>
      <c r="M308" s="100"/>
      <c r="N308" s="100"/>
      <c r="O308" s="100"/>
      <c r="P308" s="100"/>
      <c r="Q308" s="100"/>
      <c r="R308" s="100"/>
      <c r="S308" s="100"/>
      <c r="T308" s="100"/>
      <c r="U308" s="100"/>
      <c r="V308" s="100"/>
      <c r="W308" s="100"/>
      <c r="X308" s="100"/>
      <c r="Y308" s="100"/>
      <c r="Z308" s="100"/>
    </row>
    <row r="309" ht="15.75" customHeight="1" spans="1:26">
      <c r="A309" s="100"/>
      <c r="B309" s="101"/>
      <c r="C309" s="100"/>
      <c r="D309" s="100"/>
      <c r="E309" s="100"/>
      <c r="F309" s="100"/>
      <c r="G309" s="100"/>
      <c r="H309" s="100"/>
      <c r="I309" s="100"/>
      <c r="J309" s="100"/>
      <c r="K309" s="100"/>
      <c r="L309" s="100"/>
      <c r="M309" s="100"/>
      <c r="N309" s="100"/>
      <c r="O309" s="100"/>
      <c r="P309" s="100"/>
      <c r="Q309" s="100"/>
      <c r="R309" s="100"/>
      <c r="S309" s="100"/>
      <c r="T309" s="100"/>
      <c r="U309" s="100"/>
      <c r="V309" s="100"/>
      <c r="W309" s="100"/>
      <c r="X309" s="100"/>
      <c r="Y309" s="100"/>
      <c r="Z309" s="100"/>
    </row>
    <row r="310" ht="15.75" customHeight="1" spans="1:26">
      <c r="A310" s="100"/>
      <c r="B310" s="101"/>
      <c r="C310" s="100"/>
      <c r="D310" s="100"/>
      <c r="E310" s="100"/>
      <c r="F310" s="100"/>
      <c r="G310" s="100"/>
      <c r="H310" s="100"/>
      <c r="I310" s="100"/>
      <c r="J310" s="100"/>
      <c r="K310" s="100"/>
      <c r="L310" s="100"/>
      <c r="M310" s="100"/>
      <c r="N310" s="100"/>
      <c r="O310" s="100"/>
      <c r="P310" s="100"/>
      <c r="Q310" s="100"/>
      <c r="R310" s="100"/>
      <c r="S310" s="100"/>
      <c r="T310" s="100"/>
      <c r="U310" s="100"/>
      <c r="V310" s="100"/>
      <c r="W310" s="100"/>
      <c r="X310" s="100"/>
      <c r="Y310" s="100"/>
      <c r="Z310" s="100"/>
    </row>
    <row r="311" ht="15.75" customHeight="1" spans="1:26">
      <c r="A311" s="100"/>
      <c r="B311" s="101"/>
      <c r="C311" s="100"/>
      <c r="D311" s="100"/>
      <c r="E311" s="100"/>
      <c r="F311" s="100"/>
      <c r="G311" s="100"/>
      <c r="H311" s="100"/>
      <c r="I311" s="100"/>
      <c r="J311" s="100"/>
      <c r="K311" s="100"/>
      <c r="L311" s="100"/>
      <c r="M311" s="100"/>
      <c r="N311" s="100"/>
      <c r="O311" s="100"/>
      <c r="P311" s="100"/>
      <c r="Q311" s="100"/>
      <c r="R311" s="100"/>
      <c r="S311" s="100"/>
      <c r="T311" s="100"/>
      <c r="U311" s="100"/>
      <c r="V311" s="100"/>
      <c r="W311" s="100"/>
      <c r="X311" s="100"/>
      <c r="Y311" s="100"/>
      <c r="Z311" s="100"/>
    </row>
    <row r="312" ht="15.75" customHeight="1" spans="1:26">
      <c r="A312" s="100"/>
      <c r="B312" s="101"/>
      <c r="C312" s="100"/>
      <c r="D312" s="100"/>
      <c r="E312" s="100"/>
      <c r="F312" s="100"/>
      <c r="G312" s="100"/>
      <c r="H312" s="100"/>
      <c r="I312" s="100"/>
      <c r="J312" s="100"/>
      <c r="K312" s="100"/>
      <c r="L312" s="100"/>
      <c r="M312" s="100"/>
      <c r="N312" s="100"/>
      <c r="O312" s="100"/>
      <c r="P312" s="100"/>
      <c r="Q312" s="100"/>
      <c r="R312" s="100"/>
      <c r="S312" s="100"/>
      <c r="T312" s="100"/>
      <c r="U312" s="100"/>
      <c r="V312" s="100"/>
      <c r="W312" s="100"/>
      <c r="X312" s="100"/>
      <c r="Y312" s="100"/>
      <c r="Z312" s="100"/>
    </row>
    <row r="313" ht="15.75" customHeight="1" spans="1:26">
      <c r="A313" s="100"/>
      <c r="B313" s="101"/>
      <c r="C313" s="100"/>
      <c r="D313" s="100"/>
      <c r="E313" s="100"/>
      <c r="F313" s="100"/>
      <c r="G313" s="100"/>
      <c r="H313" s="100"/>
      <c r="I313" s="100"/>
      <c r="J313" s="100"/>
      <c r="K313" s="100"/>
      <c r="L313" s="100"/>
      <c r="M313" s="100"/>
      <c r="N313" s="100"/>
      <c r="O313" s="100"/>
      <c r="P313" s="100"/>
      <c r="Q313" s="100"/>
      <c r="R313" s="100"/>
      <c r="S313" s="100"/>
      <c r="T313" s="100"/>
      <c r="U313" s="100"/>
      <c r="V313" s="100"/>
      <c r="W313" s="100"/>
      <c r="X313" s="100"/>
      <c r="Y313" s="100"/>
      <c r="Z313" s="100"/>
    </row>
    <row r="314" ht="15.75" customHeight="1" spans="1:26">
      <c r="A314" s="100"/>
      <c r="B314" s="101"/>
      <c r="C314" s="100"/>
      <c r="D314" s="100"/>
      <c r="E314" s="100"/>
      <c r="F314" s="100"/>
      <c r="G314" s="100"/>
      <c r="H314" s="100"/>
      <c r="I314" s="100"/>
      <c r="J314" s="100"/>
      <c r="K314" s="100"/>
      <c r="L314" s="100"/>
      <c r="M314" s="100"/>
      <c r="N314" s="100"/>
      <c r="O314" s="100"/>
      <c r="P314" s="100"/>
      <c r="Q314" s="100"/>
      <c r="R314" s="100"/>
      <c r="S314" s="100"/>
      <c r="T314" s="100"/>
      <c r="U314" s="100"/>
      <c r="V314" s="100"/>
      <c r="W314" s="100"/>
      <c r="X314" s="100"/>
      <c r="Y314" s="100"/>
      <c r="Z314" s="100"/>
    </row>
    <row r="315" ht="15.75" customHeight="1" spans="1:26">
      <c r="A315" s="100"/>
      <c r="B315" s="101"/>
      <c r="C315" s="100"/>
      <c r="D315" s="100"/>
      <c r="E315" s="100"/>
      <c r="F315" s="100"/>
      <c r="G315" s="100"/>
      <c r="H315" s="100"/>
      <c r="I315" s="100"/>
      <c r="J315" s="100"/>
      <c r="K315" s="100"/>
      <c r="L315" s="100"/>
      <c r="M315" s="100"/>
      <c r="N315" s="100"/>
      <c r="O315" s="100"/>
      <c r="P315" s="100"/>
      <c r="Q315" s="100"/>
      <c r="R315" s="100"/>
      <c r="S315" s="100"/>
      <c r="T315" s="100"/>
      <c r="U315" s="100"/>
      <c r="V315" s="100"/>
      <c r="W315" s="100"/>
      <c r="X315" s="100"/>
      <c r="Y315" s="100"/>
      <c r="Z315" s="100"/>
    </row>
    <row r="316" ht="15.75" customHeight="1" spans="1:26">
      <c r="A316" s="100"/>
      <c r="B316" s="101"/>
      <c r="C316" s="100"/>
      <c r="D316" s="100"/>
      <c r="E316" s="100"/>
      <c r="F316" s="100"/>
      <c r="G316" s="100"/>
      <c r="H316" s="100"/>
      <c r="I316" s="100"/>
      <c r="J316" s="100"/>
      <c r="K316" s="100"/>
      <c r="L316" s="100"/>
      <c r="M316" s="100"/>
      <c r="N316" s="100"/>
      <c r="O316" s="100"/>
      <c r="P316" s="100"/>
      <c r="Q316" s="100"/>
      <c r="R316" s="100"/>
      <c r="S316" s="100"/>
      <c r="T316" s="100"/>
      <c r="U316" s="100"/>
      <c r="V316" s="100"/>
      <c r="W316" s="100"/>
      <c r="X316" s="100"/>
      <c r="Y316" s="100"/>
      <c r="Z316" s="100"/>
    </row>
    <row r="317" ht="15.75" customHeight="1" spans="1:26">
      <c r="A317" s="100"/>
      <c r="B317" s="101"/>
      <c r="C317" s="100"/>
      <c r="D317" s="100"/>
      <c r="E317" s="100"/>
      <c r="F317" s="100"/>
      <c r="G317" s="100"/>
      <c r="H317" s="100"/>
      <c r="I317" s="100"/>
      <c r="J317" s="100"/>
      <c r="K317" s="100"/>
      <c r="L317" s="100"/>
      <c r="M317" s="100"/>
      <c r="N317" s="100"/>
      <c r="O317" s="100"/>
      <c r="P317" s="100"/>
      <c r="Q317" s="100"/>
      <c r="R317" s="100"/>
      <c r="S317" s="100"/>
      <c r="T317" s="100"/>
      <c r="U317" s="100"/>
      <c r="V317" s="100"/>
      <c r="W317" s="100"/>
      <c r="X317" s="100"/>
      <c r="Y317" s="100"/>
      <c r="Z317" s="100"/>
    </row>
    <row r="318" ht="15.75" customHeight="1" spans="1:26">
      <c r="A318" s="100"/>
      <c r="B318" s="101"/>
      <c r="C318" s="100"/>
      <c r="D318" s="100"/>
      <c r="E318" s="100"/>
      <c r="F318" s="100"/>
      <c r="G318" s="100"/>
      <c r="H318" s="100"/>
      <c r="I318" s="100"/>
      <c r="J318" s="100"/>
      <c r="K318" s="100"/>
      <c r="L318" s="100"/>
      <c r="M318" s="100"/>
      <c r="N318" s="100"/>
      <c r="O318" s="100"/>
      <c r="P318" s="100"/>
      <c r="Q318" s="100"/>
      <c r="R318" s="100"/>
      <c r="S318" s="100"/>
      <c r="T318" s="100"/>
      <c r="U318" s="100"/>
      <c r="V318" s="100"/>
      <c r="W318" s="100"/>
      <c r="X318" s="100"/>
      <c r="Y318" s="100"/>
      <c r="Z318" s="100"/>
    </row>
    <row r="319" ht="15.75" customHeight="1" spans="1:26">
      <c r="A319" s="100"/>
      <c r="B319" s="101"/>
      <c r="C319" s="100"/>
      <c r="D319" s="100"/>
      <c r="E319" s="100"/>
      <c r="F319" s="100"/>
      <c r="G319" s="100"/>
      <c r="H319" s="100"/>
      <c r="I319" s="100"/>
      <c r="J319" s="100"/>
      <c r="K319" s="100"/>
      <c r="L319" s="100"/>
      <c r="M319" s="100"/>
      <c r="N319" s="100"/>
      <c r="O319" s="100"/>
      <c r="P319" s="100"/>
      <c r="Q319" s="100"/>
      <c r="R319" s="100"/>
      <c r="S319" s="100"/>
      <c r="T319" s="100"/>
      <c r="U319" s="100"/>
      <c r="V319" s="100"/>
      <c r="W319" s="100"/>
      <c r="X319" s="100"/>
      <c r="Y319" s="100"/>
      <c r="Z319" s="100"/>
    </row>
    <row r="320" ht="15.75" customHeight="1" spans="1:26">
      <c r="A320" s="100"/>
      <c r="B320" s="101"/>
      <c r="C320" s="100"/>
      <c r="D320" s="100"/>
      <c r="E320" s="100"/>
      <c r="F320" s="100"/>
      <c r="G320" s="100"/>
      <c r="H320" s="100"/>
      <c r="I320" s="100"/>
      <c r="J320" s="100"/>
      <c r="K320" s="100"/>
      <c r="L320" s="100"/>
      <c r="M320" s="100"/>
      <c r="N320" s="100"/>
      <c r="O320" s="100"/>
      <c r="P320" s="100"/>
      <c r="Q320" s="100"/>
      <c r="R320" s="100"/>
      <c r="S320" s="100"/>
      <c r="T320" s="100"/>
      <c r="U320" s="100"/>
      <c r="V320" s="100"/>
      <c r="W320" s="100"/>
      <c r="X320" s="100"/>
      <c r="Y320" s="100"/>
      <c r="Z320" s="100"/>
    </row>
    <row r="321" ht="15.75" customHeight="1" spans="1:26">
      <c r="A321" s="100"/>
      <c r="B321" s="101"/>
      <c r="C321" s="100"/>
      <c r="D321" s="100"/>
      <c r="E321" s="100"/>
      <c r="F321" s="100"/>
      <c r="G321" s="100"/>
      <c r="H321" s="100"/>
      <c r="I321" s="100"/>
      <c r="J321" s="100"/>
      <c r="K321" s="100"/>
      <c r="L321" s="100"/>
      <c r="M321" s="100"/>
      <c r="N321" s="100"/>
      <c r="O321" s="100"/>
      <c r="P321" s="100"/>
      <c r="Q321" s="100"/>
      <c r="R321" s="100"/>
      <c r="S321" s="100"/>
      <c r="T321" s="100"/>
      <c r="U321" s="100"/>
      <c r="V321" s="100"/>
      <c r="W321" s="100"/>
      <c r="X321" s="100"/>
      <c r="Y321" s="100"/>
      <c r="Z321" s="100"/>
    </row>
    <row r="322" ht="15.75" customHeight="1" spans="1:26">
      <c r="A322" s="100"/>
      <c r="B322" s="101"/>
      <c r="C322" s="100"/>
      <c r="D322" s="100"/>
      <c r="E322" s="100"/>
      <c r="F322" s="100"/>
      <c r="G322" s="100"/>
      <c r="H322" s="100"/>
      <c r="I322" s="100"/>
      <c r="J322" s="100"/>
      <c r="K322" s="100"/>
      <c r="L322" s="100"/>
      <c r="M322" s="100"/>
      <c r="N322" s="100"/>
      <c r="O322" s="100"/>
      <c r="P322" s="100"/>
      <c r="Q322" s="100"/>
      <c r="R322" s="100"/>
      <c r="S322" s="100"/>
      <c r="T322" s="100"/>
      <c r="U322" s="100"/>
      <c r="V322" s="100"/>
      <c r="W322" s="100"/>
      <c r="X322" s="100"/>
      <c r="Y322" s="100"/>
      <c r="Z322" s="100"/>
    </row>
    <row r="323" ht="15.75" customHeight="1" spans="1:26">
      <c r="A323" s="100"/>
      <c r="B323" s="101"/>
      <c r="C323" s="100"/>
      <c r="D323" s="100"/>
      <c r="E323" s="100"/>
      <c r="F323" s="100"/>
      <c r="G323" s="100"/>
      <c r="H323" s="100"/>
      <c r="I323" s="100"/>
      <c r="J323" s="100"/>
      <c r="K323" s="100"/>
      <c r="L323" s="100"/>
      <c r="M323" s="100"/>
      <c r="N323" s="100"/>
      <c r="O323" s="100"/>
      <c r="P323" s="100"/>
      <c r="Q323" s="100"/>
      <c r="R323" s="100"/>
      <c r="S323" s="100"/>
      <c r="T323" s="100"/>
      <c r="U323" s="100"/>
      <c r="V323" s="100"/>
      <c r="W323" s="100"/>
      <c r="X323" s="100"/>
      <c r="Y323" s="100"/>
      <c r="Z323" s="100"/>
    </row>
    <row r="324" ht="15.75" customHeight="1" spans="1:26">
      <c r="A324" s="100"/>
      <c r="B324" s="101"/>
      <c r="C324" s="100"/>
      <c r="D324" s="100"/>
      <c r="E324" s="100"/>
      <c r="F324" s="100"/>
      <c r="G324" s="100"/>
      <c r="H324" s="100"/>
      <c r="I324" s="100"/>
      <c r="J324" s="100"/>
      <c r="K324" s="100"/>
      <c r="L324" s="100"/>
      <c r="M324" s="100"/>
      <c r="N324" s="100"/>
      <c r="O324" s="100"/>
      <c r="P324" s="100"/>
      <c r="Q324" s="100"/>
      <c r="R324" s="100"/>
      <c r="S324" s="100"/>
      <c r="T324" s="100"/>
      <c r="U324" s="100"/>
      <c r="V324" s="100"/>
      <c r="W324" s="100"/>
      <c r="X324" s="100"/>
      <c r="Y324" s="100"/>
      <c r="Z324" s="100"/>
    </row>
    <row r="325" ht="15.75" customHeight="1" spans="1:26">
      <c r="A325" s="100"/>
      <c r="B325" s="101"/>
      <c r="C325" s="100"/>
      <c r="D325" s="100"/>
      <c r="E325" s="100"/>
      <c r="F325" s="100"/>
      <c r="G325" s="100"/>
      <c r="H325" s="100"/>
      <c r="I325" s="100"/>
      <c r="J325" s="100"/>
      <c r="K325" s="100"/>
      <c r="L325" s="100"/>
      <c r="M325" s="100"/>
      <c r="N325" s="100"/>
      <c r="O325" s="100"/>
      <c r="P325" s="100"/>
      <c r="Q325" s="100"/>
      <c r="R325" s="100"/>
      <c r="S325" s="100"/>
      <c r="T325" s="100"/>
      <c r="U325" s="100"/>
      <c r="V325" s="100"/>
      <c r="W325" s="100"/>
      <c r="X325" s="100"/>
      <c r="Y325" s="100"/>
      <c r="Z325" s="100"/>
    </row>
    <row r="326" ht="15.75" customHeight="1" spans="1:26">
      <c r="A326" s="100"/>
      <c r="B326" s="101"/>
      <c r="C326" s="100"/>
      <c r="D326" s="100"/>
      <c r="E326" s="100"/>
      <c r="F326" s="100"/>
      <c r="G326" s="100"/>
      <c r="H326" s="100"/>
      <c r="I326" s="100"/>
      <c r="J326" s="100"/>
      <c r="K326" s="100"/>
      <c r="L326" s="100"/>
      <c r="M326" s="100"/>
      <c r="N326" s="100"/>
      <c r="O326" s="100"/>
      <c r="P326" s="100"/>
      <c r="Q326" s="100"/>
      <c r="R326" s="100"/>
      <c r="S326" s="100"/>
      <c r="T326" s="100"/>
      <c r="U326" s="100"/>
      <c r="V326" s="100"/>
      <c r="W326" s="100"/>
      <c r="X326" s="100"/>
      <c r="Y326" s="100"/>
      <c r="Z326" s="100"/>
    </row>
    <row r="327" ht="15.75" customHeight="1" spans="1:26">
      <c r="A327" s="100"/>
      <c r="B327" s="101"/>
      <c r="C327" s="100"/>
      <c r="D327" s="100"/>
      <c r="E327" s="100"/>
      <c r="F327" s="100"/>
      <c r="G327" s="100"/>
      <c r="H327" s="100"/>
      <c r="I327" s="100"/>
      <c r="J327" s="100"/>
      <c r="K327" s="100"/>
      <c r="L327" s="100"/>
      <c r="M327" s="100"/>
      <c r="N327" s="100"/>
      <c r="O327" s="100"/>
      <c r="P327" s="100"/>
      <c r="Q327" s="100"/>
      <c r="R327" s="100"/>
      <c r="S327" s="100"/>
      <c r="T327" s="100"/>
      <c r="U327" s="100"/>
      <c r="V327" s="100"/>
      <c r="W327" s="100"/>
      <c r="X327" s="100"/>
      <c r="Y327" s="100"/>
      <c r="Z327" s="100"/>
    </row>
    <row r="328" ht="15.75" customHeight="1" spans="1:26">
      <c r="A328" s="100"/>
      <c r="B328" s="101"/>
      <c r="C328" s="100"/>
      <c r="D328" s="100"/>
      <c r="E328" s="100"/>
      <c r="F328" s="100"/>
      <c r="G328" s="100"/>
      <c r="H328" s="100"/>
      <c r="I328" s="100"/>
      <c r="J328" s="100"/>
      <c r="K328" s="100"/>
      <c r="L328" s="100"/>
      <c r="M328" s="100"/>
      <c r="N328" s="100"/>
      <c r="O328" s="100"/>
      <c r="P328" s="100"/>
      <c r="Q328" s="100"/>
      <c r="R328" s="100"/>
      <c r="S328" s="100"/>
      <c r="T328" s="100"/>
      <c r="U328" s="100"/>
      <c r="V328" s="100"/>
      <c r="W328" s="100"/>
      <c r="X328" s="100"/>
      <c r="Y328" s="100"/>
      <c r="Z328" s="100"/>
    </row>
    <row r="329" ht="15.75" customHeight="1" spans="1:26">
      <c r="A329" s="100"/>
      <c r="B329" s="101"/>
      <c r="C329" s="100"/>
      <c r="D329" s="100"/>
      <c r="E329" s="100"/>
      <c r="F329" s="100"/>
      <c r="G329" s="100"/>
      <c r="H329" s="100"/>
      <c r="I329" s="100"/>
      <c r="J329" s="100"/>
      <c r="K329" s="100"/>
      <c r="L329" s="100"/>
      <c r="M329" s="100"/>
      <c r="N329" s="100"/>
      <c r="O329" s="100"/>
      <c r="P329" s="100"/>
      <c r="Q329" s="100"/>
      <c r="R329" s="100"/>
      <c r="S329" s="100"/>
      <c r="T329" s="100"/>
      <c r="U329" s="100"/>
      <c r="V329" s="100"/>
      <c r="W329" s="100"/>
      <c r="X329" s="100"/>
      <c r="Y329" s="100"/>
      <c r="Z329" s="100"/>
    </row>
    <row r="330" ht="15.75" customHeight="1" spans="1:26">
      <c r="A330" s="100"/>
      <c r="B330" s="101"/>
      <c r="C330" s="100"/>
      <c r="D330" s="100"/>
      <c r="E330" s="100"/>
      <c r="F330" s="100"/>
      <c r="G330" s="100"/>
      <c r="H330" s="100"/>
      <c r="I330" s="100"/>
      <c r="J330" s="100"/>
      <c r="K330" s="100"/>
      <c r="L330" s="100"/>
      <c r="M330" s="100"/>
      <c r="N330" s="100"/>
      <c r="O330" s="100"/>
      <c r="P330" s="100"/>
      <c r="Q330" s="100"/>
      <c r="R330" s="100"/>
      <c r="S330" s="100"/>
      <c r="T330" s="100"/>
      <c r="U330" s="100"/>
      <c r="V330" s="100"/>
      <c r="W330" s="100"/>
      <c r="X330" s="100"/>
      <c r="Y330" s="100"/>
      <c r="Z330" s="100"/>
    </row>
    <row r="331" ht="15.75" customHeight="1" spans="1:26">
      <c r="A331" s="100"/>
      <c r="B331" s="101"/>
      <c r="C331" s="100"/>
      <c r="D331" s="100"/>
      <c r="E331" s="100"/>
      <c r="F331" s="100"/>
      <c r="G331" s="100"/>
      <c r="H331" s="100"/>
      <c r="I331" s="100"/>
      <c r="J331" s="100"/>
      <c r="K331" s="100"/>
      <c r="L331" s="100"/>
      <c r="M331" s="100"/>
      <c r="N331" s="100"/>
      <c r="O331" s="100"/>
      <c r="P331" s="100"/>
      <c r="Q331" s="100"/>
      <c r="R331" s="100"/>
      <c r="S331" s="100"/>
      <c r="T331" s="100"/>
      <c r="U331" s="100"/>
      <c r="V331" s="100"/>
      <c r="W331" s="100"/>
      <c r="X331" s="100"/>
      <c r="Y331" s="100"/>
      <c r="Z331" s="100"/>
    </row>
    <row r="332" ht="15.75" customHeight="1" spans="1:26">
      <c r="A332" s="100"/>
      <c r="B332" s="101"/>
      <c r="C332" s="100"/>
      <c r="D332" s="100"/>
      <c r="E332" s="100"/>
      <c r="F332" s="100"/>
      <c r="G332" s="100"/>
      <c r="H332" s="100"/>
      <c r="I332" s="100"/>
      <c r="J332" s="100"/>
      <c r="K332" s="100"/>
      <c r="L332" s="100"/>
      <c r="M332" s="100"/>
      <c r="N332" s="100"/>
      <c r="O332" s="100"/>
      <c r="P332" s="100"/>
      <c r="Q332" s="100"/>
      <c r="R332" s="100"/>
      <c r="S332" s="100"/>
      <c r="T332" s="100"/>
      <c r="U332" s="100"/>
      <c r="V332" s="100"/>
      <c r="W332" s="100"/>
      <c r="X332" s="100"/>
      <c r="Y332" s="100"/>
      <c r="Z332" s="100"/>
    </row>
    <row r="333" ht="15.75" customHeight="1" spans="1:26">
      <c r="A333" s="100"/>
      <c r="B333" s="101"/>
      <c r="C333" s="100"/>
      <c r="D333" s="100"/>
      <c r="E333" s="100"/>
      <c r="F333" s="100"/>
      <c r="G333" s="100"/>
      <c r="H333" s="100"/>
      <c r="I333" s="100"/>
      <c r="J333" s="100"/>
      <c r="K333" s="100"/>
      <c r="L333" s="100"/>
      <c r="M333" s="100"/>
      <c r="N333" s="100"/>
      <c r="O333" s="100"/>
      <c r="P333" s="100"/>
      <c r="Q333" s="100"/>
      <c r="R333" s="100"/>
      <c r="S333" s="100"/>
      <c r="T333" s="100"/>
      <c r="U333" s="100"/>
      <c r="V333" s="100"/>
      <c r="W333" s="100"/>
      <c r="X333" s="100"/>
      <c r="Y333" s="100"/>
      <c r="Z333" s="100"/>
    </row>
    <row r="334" ht="15.75" customHeight="1" spans="1:26">
      <c r="A334" s="100"/>
      <c r="B334" s="101"/>
      <c r="C334" s="100"/>
      <c r="D334" s="100"/>
      <c r="E334" s="100"/>
      <c r="F334" s="100"/>
      <c r="G334" s="100"/>
      <c r="H334" s="100"/>
      <c r="I334" s="100"/>
      <c r="J334" s="100"/>
      <c r="K334" s="100"/>
      <c r="L334" s="100"/>
      <c r="M334" s="100"/>
      <c r="N334" s="100"/>
      <c r="O334" s="100"/>
      <c r="P334" s="100"/>
      <c r="Q334" s="100"/>
      <c r="R334" s="100"/>
      <c r="S334" s="100"/>
      <c r="T334" s="100"/>
      <c r="U334" s="100"/>
      <c r="V334" s="100"/>
      <c r="W334" s="100"/>
      <c r="X334" s="100"/>
      <c r="Y334" s="100"/>
      <c r="Z334" s="100"/>
    </row>
    <row r="335" ht="15.75" customHeight="1" spans="1:26">
      <c r="A335" s="100"/>
      <c r="B335" s="101"/>
      <c r="C335" s="100"/>
      <c r="D335" s="100"/>
      <c r="E335" s="100"/>
      <c r="F335" s="100"/>
      <c r="G335" s="100"/>
      <c r="H335" s="100"/>
      <c r="I335" s="100"/>
      <c r="J335" s="100"/>
      <c r="K335" s="100"/>
      <c r="L335" s="100"/>
      <c r="M335" s="100"/>
      <c r="N335" s="100"/>
      <c r="O335" s="100"/>
      <c r="P335" s="100"/>
      <c r="Q335" s="100"/>
      <c r="R335" s="100"/>
      <c r="S335" s="100"/>
      <c r="T335" s="100"/>
      <c r="U335" s="100"/>
      <c r="V335" s="100"/>
      <c r="W335" s="100"/>
      <c r="X335" s="100"/>
      <c r="Y335" s="100"/>
      <c r="Z335" s="100"/>
    </row>
    <row r="336" ht="15.75" customHeight="1" spans="1:26">
      <c r="A336" s="100"/>
      <c r="B336" s="101"/>
      <c r="C336" s="100"/>
      <c r="D336" s="100"/>
      <c r="E336" s="100"/>
      <c r="F336" s="100"/>
      <c r="G336" s="100"/>
      <c r="H336" s="100"/>
      <c r="I336" s="100"/>
      <c r="J336" s="100"/>
      <c r="K336" s="100"/>
      <c r="L336" s="100"/>
      <c r="M336" s="100"/>
      <c r="N336" s="100"/>
      <c r="O336" s="100"/>
      <c r="P336" s="100"/>
      <c r="Q336" s="100"/>
      <c r="R336" s="100"/>
      <c r="S336" s="100"/>
      <c r="T336" s="100"/>
      <c r="U336" s="100"/>
      <c r="V336" s="100"/>
      <c r="W336" s="100"/>
      <c r="X336" s="100"/>
      <c r="Y336" s="100"/>
      <c r="Z336" s="100"/>
    </row>
    <row r="337" ht="15.75" customHeight="1" spans="1:26">
      <c r="A337" s="100"/>
      <c r="B337" s="101"/>
      <c r="C337" s="100"/>
      <c r="D337" s="100"/>
      <c r="E337" s="100"/>
      <c r="F337" s="100"/>
      <c r="G337" s="100"/>
      <c r="H337" s="100"/>
      <c r="I337" s="100"/>
      <c r="J337" s="100"/>
      <c r="K337" s="100"/>
      <c r="L337" s="100"/>
      <c r="M337" s="100"/>
      <c r="N337" s="100"/>
      <c r="O337" s="100"/>
      <c r="P337" s="100"/>
      <c r="Q337" s="100"/>
      <c r="R337" s="100"/>
      <c r="S337" s="100"/>
      <c r="T337" s="100"/>
      <c r="U337" s="100"/>
      <c r="V337" s="100"/>
      <c r="W337" s="100"/>
      <c r="X337" s="100"/>
      <c r="Y337" s="100"/>
      <c r="Z337" s="100"/>
    </row>
    <row r="338" ht="15.75" customHeight="1" spans="1:26">
      <c r="A338" s="100"/>
      <c r="B338" s="101"/>
      <c r="C338" s="100"/>
      <c r="D338" s="100"/>
      <c r="E338" s="100"/>
      <c r="F338" s="100"/>
      <c r="G338" s="100"/>
      <c r="H338" s="100"/>
      <c r="I338" s="100"/>
      <c r="J338" s="100"/>
      <c r="K338" s="100"/>
      <c r="L338" s="100"/>
      <c r="M338" s="100"/>
      <c r="N338" s="100"/>
      <c r="O338" s="100"/>
      <c r="P338" s="100"/>
      <c r="Q338" s="100"/>
      <c r="R338" s="100"/>
      <c r="S338" s="100"/>
      <c r="T338" s="100"/>
      <c r="U338" s="100"/>
      <c r="V338" s="100"/>
      <c r="W338" s="100"/>
      <c r="X338" s="100"/>
      <c r="Y338" s="100"/>
      <c r="Z338" s="100"/>
    </row>
    <row r="339" ht="15.75" customHeight="1" spans="1:26">
      <c r="A339" s="100"/>
      <c r="B339" s="101"/>
      <c r="C339" s="100"/>
      <c r="D339" s="100"/>
      <c r="E339" s="100"/>
      <c r="F339" s="100"/>
      <c r="G339" s="100"/>
      <c r="H339" s="100"/>
      <c r="I339" s="100"/>
      <c r="J339" s="100"/>
      <c r="K339" s="100"/>
      <c r="L339" s="100"/>
      <c r="M339" s="100"/>
      <c r="N339" s="100"/>
      <c r="O339" s="100"/>
      <c r="P339" s="100"/>
      <c r="Q339" s="100"/>
      <c r="R339" s="100"/>
      <c r="S339" s="100"/>
      <c r="T339" s="100"/>
      <c r="U339" s="100"/>
      <c r="V339" s="100"/>
      <c r="W339" s="100"/>
      <c r="X339" s="100"/>
      <c r="Y339" s="100"/>
      <c r="Z339" s="100"/>
    </row>
    <row r="340" ht="15.75" customHeight="1" spans="1:26">
      <c r="A340" s="100"/>
      <c r="B340" s="101"/>
      <c r="C340" s="100"/>
      <c r="D340" s="100"/>
      <c r="E340" s="100"/>
      <c r="F340" s="100"/>
      <c r="G340" s="100"/>
      <c r="H340" s="100"/>
      <c r="I340" s="100"/>
      <c r="J340" s="100"/>
      <c r="K340" s="100"/>
      <c r="L340" s="100"/>
      <c r="M340" s="100"/>
      <c r="N340" s="100"/>
      <c r="O340" s="100"/>
      <c r="P340" s="100"/>
      <c r="Q340" s="100"/>
      <c r="R340" s="100"/>
      <c r="S340" s="100"/>
      <c r="T340" s="100"/>
      <c r="U340" s="100"/>
      <c r="V340" s="100"/>
      <c r="W340" s="100"/>
      <c r="X340" s="100"/>
      <c r="Y340" s="100"/>
      <c r="Z340" s="100"/>
    </row>
    <row r="341" ht="15.75" customHeight="1" spans="1:26">
      <c r="A341" s="100"/>
      <c r="B341" s="101"/>
      <c r="C341" s="100"/>
      <c r="D341" s="100"/>
      <c r="E341" s="100"/>
      <c r="F341" s="100"/>
      <c r="G341" s="100"/>
      <c r="H341" s="100"/>
      <c r="I341" s="100"/>
      <c r="J341" s="100"/>
      <c r="K341" s="100"/>
      <c r="L341" s="100"/>
      <c r="M341" s="100"/>
      <c r="N341" s="100"/>
      <c r="O341" s="100"/>
      <c r="P341" s="100"/>
      <c r="Q341" s="100"/>
      <c r="R341" s="100"/>
      <c r="S341" s="100"/>
      <c r="T341" s="100"/>
      <c r="U341" s="100"/>
      <c r="V341" s="100"/>
      <c r="W341" s="100"/>
      <c r="X341" s="100"/>
      <c r="Y341" s="100"/>
      <c r="Z341" s="100"/>
    </row>
    <row r="342" ht="15.75" customHeight="1" spans="1:26">
      <c r="A342" s="100"/>
      <c r="B342" s="101"/>
      <c r="C342" s="100"/>
      <c r="D342" s="100"/>
      <c r="E342" s="100"/>
      <c r="F342" s="100"/>
      <c r="G342" s="100"/>
      <c r="H342" s="100"/>
      <c r="I342" s="100"/>
      <c r="J342" s="100"/>
      <c r="K342" s="100"/>
      <c r="L342" s="100"/>
      <c r="M342" s="100"/>
      <c r="N342" s="100"/>
      <c r="O342" s="100"/>
      <c r="P342" s="100"/>
      <c r="Q342" s="100"/>
      <c r="R342" s="100"/>
      <c r="S342" s="100"/>
      <c r="T342" s="100"/>
      <c r="U342" s="100"/>
      <c r="V342" s="100"/>
      <c r="W342" s="100"/>
      <c r="X342" s="100"/>
      <c r="Y342" s="100"/>
      <c r="Z342" s="100"/>
    </row>
    <row r="343" ht="15.75" customHeight="1" spans="1:26">
      <c r="A343" s="100"/>
      <c r="B343" s="101"/>
      <c r="C343" s="100"/>
      <c r="D343" s="100"/>
      <c r="E343" s="100"/>
      <c r="F343" s="100"/>
      <c r="G343" s="100"/>
      <c r="H343" s="100"/>
      <c r="I343" s="100"/>
      <c r="J343" s="100"/>
      <c r="K343" s="100"/>
      <c r="L343" s="100"/>
      <c r="M343" s="100"/>
      <c r="N343" s="100"/>
      <c r="O343" s="100"/>
      <c r="P343" s="100"/>
      <c r="Q343" s="100"/>
      <c r="R343" s="100"/>
      <c r="S343" s="100"/>
      <c r="T343" s="100"/>
      <c r="U343" s="100"/>
      <c r="V343" s="100"/>
      <c r="W343" s="100"/>
      <c r="X343" s="100"/>
      <c r="Y343" s="100"/>
      <c r="Z343" s="100"/>
    </row>
    <row r="344" ht="15.75" customHeight="1" spans="1:26">
      <c r="A344" s="100"/>
      <c r="B344" s="101"/>
      <c r="C344" s="100"/>
      <c r="D344" s="100"/>
      <c r="E344" s="100"/>
      <c r="F344" s="100"/>
      <c r="G344" s="100"/>
      <c r="H344" s="100"/>
      <c r="I344" s="100"/>
      <c r="J344" s="100"/>
      <c r="K344" s="100"/>
      <c r="L344" s="100"/>
      <c r="M344" s="100"/>
      <c r="N344" s="100"/>
      <c r="O344" s="100"/>
      <c r="P344" s="100"/>
      <c r="Q344" s="100"/>
      <c r="R344" s="100"/>
      <c r="S344" s="100"/>
      <c r="T344" s="100"/>
      <c r="U344" s="100"/>
      <c r="V344" s="100"/>
      <c r="W344" s="100"/>
      <c r="X344" s="100"/>
      <c r="Y344" s="100"/>
      <c r="Z344" s="100"/>
    </row>
    <row r="345" ht="15.75" customHeight="1" spans="1:26">
      <c r="A345" s="100"/>
      <c r="B345" s="101"/>
      <c r="C345" s="100"/>
      <c r="D345" s="100"/>
      <c r="E345" s="100"/>
      <c r="F345" s="100"/>
      <c r="G345" s="100"/>
      <c r="H345" s="100"/>
      <c r="I345" s="100"/>
      <c r="J345" s="100"/>
      <c r="K345" s="100"/>
      <c r="L345" s="100"/>
      <c r="M345" s="100"/>
      <c r="N345" s="100"/>
      <c r="O345" s="100"/>
      <c r="P345" s="100"/>
      <c r="Q345" s="100"/>
      <c r="R345" s="100"/>
      <c r="S345" s="100"/>
      <c r="T345" s="100"/>
      <c r="U345" s="100"/>
      <c r="V345" s="100"/>
      <c r="W345" s="100"/>
      <c r="X345" s="100"/>
      <c r="Y345" s="100"/>
      <c r="Z345" s="100"/>
    </row>
    <row r="346" ht="15.75" customHeight="1" spans="1:26">
      <c r="A346" s="100"/>
      <c r="B346" s="101"/>
      <c r="C346" s="100"/>
      <c r="D346" s="100"/>
      <c r="E346" s="100"/>
      <c r="F346" s="100"/>
      <c r="G346" s="100"/>
      <c r="H346" s="100"/>
      <c r="I346" s="100"/>
      <c r="J346" s="100"/>
      <c r="K346" s="100"/>
      <c r="L346" s="100"/>
      <c r="M346" s="100"/>
      <c r="N346" s="100"/>
      <c r="O346" s="100"/>
      <c r="P346" s="100"/>
      <c r="Q346" s="100"/>
      <c r="R346" s="100"/>
      <c r="S346" s="100"/>
      <c r="T346" s="100"/>
      <c r="U346" s="100"/>
      <c r="V346" s="100"/>
      <c r="W346" s="100"/>
      <c r="X346" s="100"/>
      <c r="Y346" s="100"/>
      <c r="Z346" s="100"/>
    </row>
    <row r="347" ht="15.75" customHeight="1" spans="1:26">
      <c r="A347" s="100"/>
      <c r="B347" s="101"/>
      <c r="C347" s="100"/>
      <c r="D347" s="100"/>
      <c r="E347" s="100"/>
      <c r="F347" s="100"/>
      <c r="G347" s="100"/>
      <c r="H347" s="100"/>
      <c r="I347" s="100"/>
      <c r="J347" s="100"/>
      <c r="K347" s="100"/>
      <c r="L347" s="100"/>
      <c r="M347" s="100"/>
      <c r="N347" s="100"/>
      <c r="O347" s="100"/>
      <c r="P347" s="100"/>
      <c r="Q347" s="100"/>
      <c r="R347" s="100"/>
      <c r="S347" s="100"/>
      <c r="T347" s="100"/>
      <c r="U347" s="100"/>
      <c r="V347" s="100"/>
      <c r="W347" s="100"/>
      <c r="X347" s="100"/>
      <c r="Y347" s="100"/>
      <c r="Z347" s="100"/>
    </row>
    <row r="348" ht="15.75" customHeight="1" spans="1:26">
      <c r="A348" s="100"/>
      <c r="B348" s="101"/>
      <c r="C348" s="100"/>
      <c r="D348" s="100"/>
      <c r="E348" s="100"/>
      <c r="F348" s="100"/>
      <c r="G348" s="100"/>
      <c r="H348" s="100"/>
      <c r="I348" s="100"/>
      <c r="J348" s="100"/>
      <c r="K348" s="100"/>
      <c r="L348" s="100"/>
      <c r="M348" s="100"/>
      <c r="N348" s="100"/>
      <c r="O348" s="100"/>
      <c r="P348" s="100"/>
      <c r="Q348" s="100"/>
      <c r="R348" s="100"/>
      <c r="S348" s="100"/>
      <c r="T348" s="100"/>
      <c r="U348" s="100"/>
      <c r="V348" s="100"/>
      <c r="W348" s="100"/>
      <c r="X348" s="100"/>
      <c r="Y348" s="100"/>
      <c r="Z348" s="100"/>
    </row>
    <row r="349" ht="15.75" customHeight="1" spans="1:26">
      <c r="A349" s="100"/>
      <c r="B349" s="101"/>
      <c r="C349" s="100"/>
      <c r="D349" s="100"/>
      <c r="E349" s="100"/>
      <c r="F349" s="100"/>
      <c r="G349" s="100"/>
      <c r="H349" s="100"/>
      <c r="I349" s="100"/>
      <c r="J349" s="100"/>
      <c r="K349" s="100"/>
      <c r="L349" s="100"/>
      <c r="M349" s="100"/>
      <c r="N349" s="100"/>
      <c r="O349" s="100"/>
      <c r="P349" s="100"/>
      <c r="Q349" s="100"/>
      <c r="R349" s="100"/>
      <c r="S349" s="100"/>
      <c r="T349" s="100"/>
      <c r="U349" s="100"/>
      <c r="V349" s="100"/>
      <c r="W349" s="100"/>
      <c r="X349" s="100"/>
      <c r="Y349" s="100"/>
      <c r="Z349" s="100"/>
    </row>
    <row r="350" ht="15.75" customHeight="1" spans="1:26">
      <c r="A350" s="100"/>
      <c r="B350" s="101"/>
      <c r="C350" s="100"/>
      <c r="D350" s="100"/>
      <c r="E350" s="100"/>
      <c r="F350" s="100"/>
      <c r="G350" s="100"/>
      <c r="H350" s="100"/>
      <c r="I350" s="100"/>
      <c r="J350" s="100"/>
      <c r="K350" s="100"/>
      <c r="L350" s="100"/>
      <c r="M350" s="100"/>
      <c r="N350" s="100"/>
      <c r="O350" s="100"/>
      <c r="P350" s="100"/>
      <c r="Q350" s="100"/>
      <c r="R350" s="100"/>
      <c r="S350" s="100"/>
      <c r="T350" s="100"/>
      <c r="U350" s="100"/>
      <c r="V350" s="100"/>
      <c r="W350" s="100"/>
      <c r="X350" s="100"/>
      <c r="Y350" s="100"/>
      <c r="Z350" s="100"/>
    </row>
    <row r="351" ht="15.75" customHeight="1" spans="1:26">
      <c r="A351" s="100"/>
      <c r="B351" s="101"/>
      <c r="C351" s="100"/>
      <c r="D351" s="100"/>
      <c r="E351" s="100"/>
      <c r="F351" s="100"/>
      <c r="G351" s="100"/>
      <c r="H351" s="100"/>
      <c r="I351" s="100"/>
      <c r="J351" s="100"/>
      <c r="K351" s="100"/>
      <c r="L351" s="100"/>
      <c r="M351" s="100"/>
      <c r="N351" s="100"/>
      <c r="O351" s="100"/>
      <c r="P351" s="100"/>
      <c r="Q351" s="100"/>
      <c r="R351" s="100"/>
      <c r="S351" s="100"/>
      <c r="T351" s="100"/>
      <c r="U351" s="100"/>
      <c r="V351" s="100"/>
      <c r="W351" s="100"/>
      <c r="X351" s="100"/>
      <c r="Y351" s="100"/>
      <c r="Z351" s="100"/>
    </row>
    <row r="352" ht="15.75" customHeight="1" spans="1:26">
      <c r="A352" s="100"/>
      <c r="B352" s="101"/>
      <c r="C352" s="100"/>
      <c r="D352" s="100"/>
      <c r="E352" s="100"/>
      <c r="F352" s="100"/>
      <c r="G352" s="100"/>
      <c r="H352" s="100"/>
      <c r="I352" s="100"/>
      <c r="J352" s="100"/>
      <c r="K352" s="100"/>
      <c r="L352" s="100"/>
      <c r="M352" s="100"/>
      <c r="N352" s="100"/>
      <c r="O352" s="100"/>
      <c r="P352" s="100"/>
      <c r="Q352" s="100"/>
      <c r="R352" s="100"/>
      <c r="S352" s="100"/>
      <c r="T352" s="100"/>
      <c r="U352" s="100"/>
      <c r="V352" s="100"/>
      <c r="W352" s="100"/>
      <c r="X352" s="100"/>
      <c r="Y352" s="100"/>
      <c r="Z352" s="100"/>
    </row>
    <row r="353" ht="15.75" customHeight="1" spans="1:26">
      <c r="A353" s="100"/>
      <c r="B353" s="101"/>
      <c r="C353" s="100"/>
      <c r="D353" s="100"/>
      <c r="E353" s="100"/>
      <c r="F353" s="100"/>
      <c r="G353" s="100"/>
      <c r="H353" s="100"/>
      <c r="I353" s="100"/>
      <c r="J353" s="100"/>
      <c r="K353" s="100"/>
      <c r="L353" s="100"/>
      <c r="M353" s="100"/>
      <c r="N353" s="100"/>
      <c r="O353" s="100"/>
      <c r="P353" s="100"/>
      <c r="Q353" s="100"/>
      <c r="R353" s="100"/>
      <c r="S353" s="100"/>
      <c r="T353" s="100"/>
      <c r="U353" s="100"/>
      <c r="V353" s="100"/>
      <c r="W353" s="100"/>
      <c r="X353" s="100"/>
      <c r="Y353" s="100"/>
      <c r="Z353" s="100"/>
    </row>
    <row r="354" ht="15.75" customHeight="1" spans="1:26">
      <c r="A354" s="100"/>
      <c r="B354" s="101"/>
      <c r="C354" s="100"/>
      <c r="D354" s="100"/>
      <c r="E354" s="100"/>
      <c r="F354" s="100"/>
      <c r="G354" s="100"/>
      <c r="H354" s="100"/>
      <c r="I354" s="100"/>
      <c r="J354" s="100"/>
      <c r="K354" s="100"/>
      <c r="L354" s="100"/>
      <c r="M354" s="100"/>
      <c r="N354" s="100"/>
      <c r="O354" s="100"/>
      <c r="P354" s="100"/>
      <c r="Q354" s="100"/>
      <c r="R354" s="100"/>
      <c r="S354" s="100"/>
      <c r="T354" s="100"/>
      <c r="U354" s="100"/>
      <c r="V354" s="100"/>
      <c r="W354" s="100"/>
      <c r="X354" s="100"/>
      <c r="Y354" s="100"/>
      <c r="Z354" s="100"/>
    </row>
    <row r="355" ht="15.75" customHeight="1" spans="1:26">
      <c r="A355" s="100"/>
      <c r="B355" s="101"/>
      <c r="C355" s="100"/>
      <c r="D355" s="100"/>
      <c r="E355" s="100"/>
      <c r="F355" s="100"/>
      <c r="G355" s="100"/>
      <c r="H355" s="100"/>
      <c r="I355" s="100"/>
      <c r="J355" s="100"/>
      <c r="K355" s="100"/>
      <c r="L355" s="100"/>
      <c r="M355" s="100"/>
      <c r="N355" s="100"/>
      <c r="O355" s="100"/>
      <c r="P355" s="100"/>
      <c r="Q355" s="100"/>
      <c r="R355" s="100"/>
      <c r="S355" s="100"/>
      <c r="T355" s="100"/>
      <c r="U355" s="100"/>
      <c r="V355" s="100"/>
      <c r="W355" s="100"/>
      <c r="X355" s="100"/>
      <c r="Y355" s="100"/>
      <c r="Z355" s="100"/>
    </row>
    <row r="356" ht="15.75" customHeight="1" spans="1:26">
      <c r="A356" s="100"/>
      <c r="B356" s="101"/>
      <c r="C356" s="100"/>
      <c r="D356" s="100"/>
      <c r="E356" s="100"/>
      <c r="F356" s="100"/>
      <c r="G356" s="100"/>
      <c r="H356" s="100"/>
      <c r="I356" s="100"/>
      <c r="J356" s="100"/>
      <c r="K356" s="100"/>
      <c r="L356" s="100"/>
      <c r="M356" s="100"/>
      <c r="N356" s="100"/>
      <c r="O356" s="100"/>
      <c r="P356" s="100"/>
      <c r="Q356" s="100"/>
      <c r="R356" s="100"/>
      <c r="S356" s="100"/>
      <c r="T356" s="100"/>
      <c r="U356" s="100"/>
      <c r="V356" s="100"/>
      <c r="W356" s="100"/>
      <c r="X356" s="100"/>
      <c r="Y356" s="100"/>
      <c r="Z356" s="100"/>
    </row>
    <row r="357" ht="15.75" customHeight="1" spans="1:26">
      <c r="A357" s="100"/>
      <c r="B357" s="101"/>
      <c r="C357" s="100"/>
      <c r="D357" s="100"/>
      <c r="E357" s="100"/>
      <c r="F357" s="100"/>
      <c r="G357" s="100"/>
      <c r="H357" s="100"/>
      <c r="I357" s="100"/>
      <c r="J357" s="100"/>
      <c r="K357" s="100"/>
      <c r="L357" s="100"/>
      <c r="M357" s="100"/>
      <c r="N357" s="100"/>
      <c r="O357" s="100"/>
      <c r="P357" s="100"/>
      <c r="Q357" s="100"/>
      <c r="R357" s="100"/>
      <c r="S357" s="100"/>
      <c r="T357" s="100"/>
      <c r="U357" s="100"/>
      <c r="V357" s="100"/>
      <c r="W357" s="100"/>
      <c r="X357" s="100"/>
      <c r="Y357" s="100"/>
      <c r="Z357" s="100"/>
    </row>
    <row r="358" ht="15.75" customHeight="1" spans="1:26">
      <c r="A358" s="100"/>
      <c r="B358" s="101"/>
      <c r="C358" s="100"/>
      <c r="D358" s="100"/>
      <c r="E358" s="100"/>
      <c r="F358" s="100"/>
      <c r="G358" s="100"/>
      <c r="H358" s="100"/>
      <c r="I358" s="100"/>
      <c r="J358" s="100"/>
      <c r="K358" s="100"/>
      <c r="L358" s="100"/>
      <c r="M358" s="100"/>
      <c r="N358" s="100"/>
      <c r="O358" s="100"/>
      <c r="P358" s="100"/>
      <c r="Q358" s="100"/>
      <c r="R358" s="100"/>
      <c r="S358" s="100"/>
      <c r="T358" s="100"/>
      <c r="U358" s="100"/>
      <c r="V358" s="100"/>
      <c r="W358" s="100"/>
      <c r="X358" s="100"/>
      <c r="Y358" s="100"/>
      <c r="Z358" s="100"/>
    </row>
    <row r="359" ht="15.75" customHeight="1" spans="1:26">
      <c r="A359" s="100"/>
      <c r="B359" s="101"/>
      <c r="C359" s="100"/>
      <c r="D359" s="100"/>
      <c r="E359" s="100"/>
      <c r="F359" s="100"/>
      <c r="G359" s="100"/>
      <c r="H359" s="100"/>
      <c r="I359" s="100"/>
      <c r="J359" s="100"/>
      <c r="K359" s="100"/>
      <c r="L359" s="100"/>
      <c r="M359" s="100"/>
      <c r="N359" s="100"/>
      <c r="O359" s="100"/>
      <c r="P359" s="100"/>
      <c r="Q359" s="100"/>
      <c r="R359" s="100"/>
      <c r="S359" s="100"/>
      <c r="T359" s="100"/>
      <c r="U359" s="100"/>
      <c r="V359" s="100"/>
      <c r="W359" s="100"/>
      <c r="X359" s="100"/>
      <c r="Y359" s="100"/>
      <c r="Z359" s="100"/>
    </row>
    <row r="360" ht="15.75" customHeight="1" spans="1:26">
      <c r="A360" s="100"/>
      <c r="B360" s="101"/>
      <c r="C360" s="100"/>
      <c r="D360" s="100"/>
      <c r="E360" s="100"/>
      <c r="F360" s="100"/>
      <c r="G360" s="100"/>
      <c r="H360" s="100"/>
      <c r="I360" s="100"/>
      <c r="J360" s="100"/>
      <c r="K360" s="100"/>
      <c r="L360" s="100"/>
      <c r="M360" s="100"/>
      <c r="N360" s="100"/>
      <c r="O360" s="100"/>
      <c r="P360" s="100"/>
      <c r="Q360" s="100"/>
      <c r="R360" s="100"/>
      <c r="S360" s="100"/>
      <c r="T360" s="100"/>
      <c r="U360" s="100"/>
      <c r="V360" s="100"/>
      <c r="W360" s="100"/>
      <c r="X360" s="100"/>
      <c r="Y360" s="100"/>
      <c r="Z360" s="100"/>
    </row>
    <row r="361" ht="15.75" customHeight="1" spans="1:26">
      <c r="A361" s="100"/>
      <c r="B361" s="101"/>
      <c r="C361" s="100"/>
      <c r="D361" s="100"/>
      <c r="E361" s="100"/>
      <c r="F361" s="100"/>
      <c r="G361" s="100"/>
      <c r="H361" s="100"/>
      <c r="I361" s="100"/>
      <c r="J361" s="100"/>
      <c r="K361" s="100"/>
      <c r="L361" s="100"/>
      <c r="M361" s="100"/>
      <c r="N361" s="100"/>
      <c r="O361" s="100"/>
      <c r="P361" s="100"/>
      <c r="Q361" s="100"/>
      <c r="R361" s="100"/>
      <c r="S361" s="100"/>
      <c r="T361" s="100"/>
      <c r="U361" s="100"/>
      <c r="V361" s="100"/>
      <c r="W361" s="100"/>
      <c r="X361" s="100"/>
      <c r="Y361" s="100"/>
      <c r="Z361" s="100"/>
    </row>
    <row r="362" ht="15.75" customHeight="1" spans="1:26">
      <c r="A362" s="100"/>
      <c r="B362" s="101"/>
      <c r="C362" s="100"/>
      <c r="D362" s="100"/>
      <c r="E362" s="100"/>
      <c r="F362" s="100"/>
      <c r="G362" s="100"/>
      <c r="H362" s="100"/>
      <c r="I362" s="100"/>
      <c r="J362" s="100"/>
      <c r="K362" s="100"/>
      <c r="L362" s="100"/>
      <c r="M362" s="100"/>
      <c r="N362" s="100"/>
      <c r="O362" s="100"/>
      <c r="P362" s="100"/>
      <c r="Q362" s="100"/>
      <c r="R362" s="100"/>
      <c r="S362" s="100"/>
      <c r="T362" s="100"/>
      <c r="U362" s="100"/>
      <c r="V362" s="100"/>
      <c r="W362" s="100"/>
      <c r="X362" s="100"/>
      <c r="Y362" s="100"/>
      <c r="Z362" s="100"/>
    </row>
    <row r="363" ht="15.75" customHeight="1" spans="1:26">
      <c r="A363" s="100"/>
      <c r="B363" s="101"/>
      <c r="C363" s="100"/>
      <c r="D363" s="100"/>
      <c r="E363" s="100"/>
      <c r="F363" s="100"/>
      <c r="G363" s="100"/>
      <c r="H363" s="100"/>
      <c r="I363" s="100"/>
      <c r="J363" s="100"/>
      <c r="K363" s="100"/>
      <c r="L363" s="100"/>
      <c r="M363" s="100"/>
      <c r="N363" s="100"/>
      <c r="O363" s="100"/>
      <c r="P363" s="100"/>
      <c r="Q363" s="100"/>
      <c r="R363" s="100"/>
      <c r="S363" s="100"/>
      <c r="T363" s="100"/>
      <c r="U363" s="100"/>
      <c r="V363" s="100"/>
      <c r="W363" s="100"/>
      <c r="X363" s="100"/>
      <c r="Y363" s="100"/>
      <c r="Z363" s="100"/>
    </row>
    <row r="364" ht="15.75" customHeight="1" spans="1:26">
      <c r="A364" s="100"/>
      <c r="B364" s="101"/>
      <c r="C364" s="100"/>
      <c r="D364" s="100"/>
      <c r="E364" s="100"/>
      <c r="F364" s="100"/>
      <c r="G364" s="100"/>
      <c r="H364" s="100"/>
      <c r="I364" s="100"/>
      <c r="J364" s="100"/>
      <c r="K364" s="100"/>
      <c r="L364" s="100"/>
      <c r="M364" s="100"/>
      <c r="N364" s="100"/>
      <c r="O364" s="100"/>
      <c r="P364" s="100"/>
      <c r="Q364" s="100"/>
      <c r="R364" s="100"/>
      <c r="S364" s="100"/>
      <c r="T364" s="100"/>
      <c r="U364" s="100"/>
      <c r="V364" s="100"/>
      <c r="W364" s="100"/>
      <c r="X364" s="100"/>
      <c r="Y364" s="100"/>
      <c r="Z364" s="100"/>
    </row>
    <row r="365" ht="15.75" customHeight="1" spans="1:26">
      <c r="A365" s="100"/>
      <c r="B365" s="101"/>
      <c r="C365" s="100"/>
      <c r="D365" s="100"/>
      <c r="E365" s="100"/>
      <c r="F365" s="100"/>
      <c r="G365" s="100"/>
      <c r="H365" s="100"/>
      <c r="I365" s="100"/>
      <c r="J365" s="100"/>
      <c r="K365" s="100"/>
      <c r="L365" s="100"/>
      <c r="M365" s="100"/>
      <c r="N365" s="100"/>
      <c r="O365" s="100"/>
      <c r="P365" s="100"/>
      <c r="Q365" s="100"/>
      <c r="R365" s="100"/>
      <c r="S365" s="100"/>
      <c r="T365" s="100"/>
      <c r="U365" s="100"/>
      <c r="V365" s="100"/>
      <c r="W365" s="100"/>
      <c r="X365" s="100"/>
      <c r="Y365" s="100"/>
      <c r="Z365" s="100"/>
    </row>
    <row r="366" ht="15.75" customHeight="1" spans="1:26">
      <c r="A366" s="100"/>
      <c r="B366" s="101"/>
      <c r="C366" s="100"/>
      <c r="D366" s="100"/>
      <c r="E366" s="100"/>
      <c r="F366" s="100"/>
      <c r="G366" s="100"/>
      <c r="H366" s="100"/>
      <c r="I366" s="100"/>
      <c r="J366" s="100"/>
      <c r="K366" s="100"/>
      <c r="L366" s="100"/>
      <c r="M366" s="100"/>
      <c r="N366" s="100"/>
      <c r="O366" s="100"/>
      <c r="P366" s="100"/>
      <c r="Q366" s="100"/>
      <c r="R366" s="100"/>
      <c r="S366" s="100"/>
      <c r="T366" s="100"/>
      <c r="U366" s="100"/>
      <c r="V366" s="100"/>
      <c r="W366" s="100"/>
      <c r="X366" s="100"/>
      <c r="Y366" s="100"/>
      <c r="Z366" s="100"/>
    </row>
    <row r="367" ht="15.75" customHeight="1" spans="1:26">
      <c r="A367" s="100"/>
      <c r="B367" s="101"/>
      <c r="C367" s="100"/>
      <c r="D367" s="100"/>
      <c r="E367" s="100"/>
      <c r="F367" s="100"/>
      <c r="G367" s="100"/>
      <c r="H367" s="100"/>
      <c r="I367" s="100"/>
      <c r="J367" s="100"/>
      <c r="K367" s="100"/>
      <c r="L367" s="100"/>
      <c r="M367" s="100"/>
      <c r="N367" s="100"/>
      <c r="O367" s="100"/>
      <c r="P367" s="100"/>
      <c r="Q367" s="100"/>
      <c r="R367" s="100"/>
      <c r="S367" s="100"/>
      <c r="T367" s="100"/>
      <c r="U367" s="100"/>
      <c r="V367" s="100"/>
      <c r="W367" s="100"/>
      <c r="X367" s="100"/>
      <c r="Y367" s="100"/>
      <c r="Z367" s="100"/>
    </row>
    <row r="368" ht="15.75" customHeight="1" spans="1:26">
      <c r="A368" s="100"/>
      <c r="B368" s="101"/>
      <c r="C368" s="100"/>
      <c r="D368" s="100"/>
      <c r="E368" s="100"/>
      <c r="F368" s="100"/>
      <c r="G368" s="100"/>
      <c r="H368" s="100"/>
      <c r="I368" s="100"/>
      <c r="J368" s="100"/>
      <c r="K368" s="100"/>
      <c r="L368" s="100"/>
      <c r="M368" s="100"/>
      <c r="N368" s="100"/>
      <c r="O368" s="100"/>
      <c r="P368" s="100"/>
      <c r="Q368" s="100"/>
      <c r="R368" s="100"/>
      <c r="S368" s="100"/>
      <c r="T368" s="100"/>
      <c r="U368" s="100"/>
      <c r="V368" s="100"/>
      <c r="W368" s="100"/>
      <c r="X368" s="100"/>
      <c r="Y368" s="100"/>
      <c r="Z368" s="100"/>
    </row>
    <row r="369" ht="15.75" customHeight="1" spans="1:26">
      <c r="A369" s="100"/>
      <c r="B369" s="101"/>
      <c r="C369" s="100"/>
      <c r="D369" s="100"/>
      <c r="E369" s="100"/>
      <c r="F369" s="100"/>
      <c r="G369" s="100"/>
      <c r="H369" s="100"/>
      <c r="I369" s="100"/>
      <c r="J369" s="100"/>
      <c r="K369" s="100"/>
      <c r="L369" s="100"/>
      <c r="M369" s="100"/>
      <c r="N369" s="100"/>
      <c r="O369" s="100"/>
      <c r="P369" s="100"/>
      <c r="Q369" s="100"/>
      <c r="R369" s="100"/>
      <c r="S369" s="100"/>
      <c r="T369" s="100"/>
      <c r="U369" s="100"/>
      <c r="V369" s="100"/>
      <c r="W369" s="100"/>
      <c r="X369" s="100"/>
      <c r="Y369" s="100"/>
      <c r="Z369" s="100"/>
    </row>
    <row r="370" ht="15.75" customHeight="1" spans="1:26">
      <c r="A370" s="100"/>
      <c r="B370" s="101"/>
      <c r="C370" s="100"/>
      <c r="D370" s="100"/>
      <c r="E370" s="100"/>
      <c r="F370" s="100"/>
      <c r="G370" s="100"/>
      <c r="H370" s="100"/>
      <c r="I370" s="100"/>
      <c r="J370" s="100"/>
      <c r="K370" s="100"/>
      <c r="L370" s="100"/>
      <c r="M370" s="100"/>
      <c r="N370" s="100"/>
      <c r="O370" s="100"/>
      <c r="P370" s="100"/>
      <c r="Q370" s="100"/>
      <c r="R370" s="100"/>
      <c r="S370" s="100"/>
      <c r="T370" s="100"/>
      <c r="U370" s="100"/>
      <c r="V370" s="100"/>
      <c r="W370" s="100"/>
      <c r="X370" s="100"/>
      <c r="Y370" s="100"/>
      <c r="Z370" s="100"/>
    </row>
    <row r="371" ht="15.75" customHeight="1" spans="1:26">
      <c r="A371" s="100"/>
      <c r="B371" s="101"/>
      <c r="C371" s="100"/>
      <c r="D371" s="100"/>
      <c r="E371" s="100"/>
      <c r="F371" s="100"/>
      <c r="G371" s="100"/>
      <c r="H371" s="100"/>
      <c r="I371" s="100"/>
      <c r="J371" s="100"/>
      <c r="K371" s="100"/>
      <c r="L371" s="100"/>
      <c r="M371" s="100"/>
      <c r="N371" s="100"/>
      <c r="O371" s="100"/>
      <c r="P371" s="100"/>
      <c r="Q371" s="100"/>
      <c r="R371" s="100"/>
      <c r="S371" s="100"/>
      <c r="T371" s="100"/>
      <c r="U371" s="100"/>
      <c r="V371" s="100"/>
      <c r="W371" s="100"/>
      <c r="X371" s="100"/>
      <c r="Y371" s="100"/>
      <c r="Z371" s="100"/>
    </row>
    <row r="372" ht="15.75" customHeight="1" spans="1:26">
      <c r="A372" s="100"/>
      <c r="B372" s="101"/>
      <c r="C372" s="100"/>
      <c r="D372" s="100"/>
      <c r="E372" s="100"/>
      <c r="F372" s="100"/>
      <c r="G372" s="100"/>
      <c r="H372" s="100"/>
      <c r="I372" s="100"/>
      <c r="J372" s="100"/>
      <c r="K372" s="100"/>
      <c r="L372" s="100"/>
      <c r="M372" s="100"/>
      <c r="N372" s="100"/>
      <c r="O372" s="100"/>
      <c r="P372" s="100"/>
      <c r="Q372" s="100"/>
      <c r="R372" s="100"/>
      <c r="S372" s="100"/>
      <c r="T372" s="100"/>
      <c r="U372" s="100"/>
      <c r="V372" s="100"/>
      <c r="W372" s="100"/>
      <c r="X372" s="100"/>
      <c r="Y372" s="100"/>
      <c r="Z372" s="100"/>
    </row>
    <row r="373" ht="15.75" customHeight="1" spans="1:26">
      <c r="A373" s="100"/>
      <c r="B373" s="101"/>
      <c r="C373" s="100"/>
      <c r="D373" s="100"/>
      <c r="E373" s="100"/>
      <c r="F373" s="100"/>
      <c r="G373" s="100"/>
      <c r="H373" s="100"/>
      <c r="I373" s="100"/>
      <c r="J373" s="100"/>
      <c r="K373" s="100"/>
      <c r="L373" s="100"/>
      <c r="M373" s="100"/>
      <c r="N373" s="100"/>
      <c r="O373" s="100"/>
      <c r="P373" s="100"/>
      <c r="Q373" s="100"/>
      <c r="R373" s="100"/>
      <c r="S373" s="100"/>
      <c r="T373" s="100"/>
      <c r="U373" s="100"/>
      <c r="V373" s="100"/>
      <c r="W373" s="100"/>
      <c r="X373" s="100"/>
      <c r="Y373" s="100"/>
      <c r="Z373" s="100"/>
    </row>
    <row r="374" ht="15.75" customHeight="1" spans="1:26">
      <c r="A374" s="100"/>
      <c r="B374" s="101"/>
      <c r="C374" s="100"/>
      <c r="D374" s="100"/>
      <c r="E374" s="100"/>
      <c r="F374" s="100"/>
      <c r="G374" s="100"/>
      <c r="H374" s="100"/>
      <c r="I374" s="100"/>
      <c r="J374" s="100"/>
      <c r="K374" s="100"/>
      <c r="L374" s="100"/>
      <c r="M374" s="100"/>
      <c r="N374" s="100"/>
      <c r="O374" s="100"/>
      <c r="P374" s="100"/>
      <c r="Q374" s="100"/>
      <c r="R374" s="100"/>
      <c r="S374" s="100"/>
      <c r="T374" s="100"/>
      <c r="U374" s="100"/>
      <c r="V374" s="100"/>
      <c r="W374" s="100"/>
      <c r="X374" s="100"/>
      <c r="Y374" s="100"/>
      <c r="Z374" s="100"/>
    </row>
    <row r="375" ht="15.75" customHeight="1" spans="1:26">
      <c r="A375" s="100"/>
      <c r="B375" s="101"/>
      <c r="C375" s="100"/>
      <c r="D375" s="100"/>
      <c r="E375" s="100"/>
      <c r="F375" s="100"/>
      <c r="G375" s="100"/>
      <c r="H375" s="100"/>
      <c r="I375" s="100"/>
      <c r="J375" s="100"/>
      <c r="K375" s="100"/>
      <c r="L375" s="100"/>
      <c r="M375" s="100"/>
      <c r="N375" s="100"/>
      <c r="O375" s="100"/>
      <c r="P375" s="100"/>
      <c r="Q375" s="100"/>
      <c r="R375" s="100"/>
      <c r="S375" s="100"/>
      <c r="T375" s="100"/>
      <c r="U375" s="100"/>
      <c r="V375" s="100"/>
      <c r="W375" s="100"/>
      <c r="X375" s="100"/>
      <c r="Y375" s="100"/>
      <c r="Z375" s="100"/>
    </row>
    <row r="376" ht="15.75" customHeight="1" spans="1:26">
      <c r="A376" s="100"/>
      <c r="B376" s="101"/>
      <c r="C376" s="100"/>
      <c r="D376" s="100"/>
      <c r="E376" s="100"/>
      <c r="F376" s="100"/>
      <c r="G376" s="100"/>
      <c r="H376" s="100"/>
      <c r="I376" s="100"/>
      <c r="J376" s="100"/>
      <c r="K376" s="100"/>
      <c r="L376" s="100"/>
      <c r="M376" s="100"/>
      <c r="N376" s="100"/>
      <c r="O376" s="100"/>
      <c r="P376" s="100"/>
      <c r="Q376" s="100"/>
      <c r="R376" s="100"/>
      <c r="S376" s="100"/>
      <c r="T376" s="100"/>
      <c r="U376" s="100"/>
      <c r="V376" s="100"/>
      <c r="W376" s="100"/>
      <c r="X376" s="100"/>
      <c r="Y376" s="100"/>
      <c r="Z376" s="100"/>
    </row>
    <row r="377" ht="15.75" customHeight="1" spans="1:26">
      <c r="A377" s="100"/>
      <c r="B377" s="101"/>
      <c r="C377" s="100"/>
      <c r="D377" s="100"/>
      <c r="E377" s="100"/>
      <c r="F377" s="100"/>
      <c r="G377" s="100"/>
      <c r="H377" s="100"/>
      <c r="I377" s="100"/>
      <c r="J377" s="100"/>
      <c r="K377" s="100"/>
      <c r="L377" s="100"/>
      <c r="M377" s="100"/>
      <c r="N377" s="100"/>
      <c r="O377" s="100"/>
      <c r="P377" s="100"/>
      <c r="Q377" s="100"/>
      <c r="R377" s="100"/>
      <c r="S377" s="100"/>
      <c r="T377" s="100"/>
      <c r="U377" s="100"/>
      <c r="V377" s="100"/>
      <c r="W377" s="100"/>
      <c r="X377" s="100"/>
      <c r="Y377" s="100"/>
      <c r="Z377" s="100"/>
    </row>
    <row r="378" ht="15.75" customHeight="1" spans="1:26">
      <c r="A378" s="100"/>
      <c r="B378" s="101"/>
      <c r="C378" s="100"/>
      <c r="D378" s="100"/>
      <c r="E378" s="100"/>
      <c r="F378" s="100"/>
      <c r="G378" s="100"/>
      <c r="H378" s="100"/>
      <c r="I378" s="100"/>
      <c r="J378" s="100"/>
      <c r="K378" s="100"/>
      <c r="L378" s="100"/>
      <c r="M378" s="100"/>
      <c r="N378" s="100"/>
      <c r="O378" s="100"/>
      <c r="P378" s="100"/>
      <c r="Q378" s="100"/>
      <c r="R378" s="100"/>
      <c r="S378" s="100"/>
      <c r="T378" s="100"/>
      <c r="U378" s="100"/>
      <c r="V378" s="100"/>
      <c r="W378" s="100"/>
      <c r="X378" s="100"/>
      <c r="Y378" s="100"/>
      <c r="Z378" s="100"/>
    </row>
    <row r="379" ht="15.75" customHeight="1" spans="1:26">
      <c r="A379" s="100"/>
      <c r="B379" s="101"/>
      <c r="C379" s="100"/>
      <c r="D379" s="100"/>
      <c r="E379" s="100"/>
      <c r="F379" s="100"/>
      <c r="G379" s="100"/>
      <c r="H379" s="100"/>
      <c r="I379" s="100"/>
      <c r="J379" s="100"/>
      <c r="K379" s="100"/>
      <c r="L379" s="100"/>
      <c r="M379" s="100"/>
      <c r="N379" s="100"/>
      <c r="O379" s="100"/>
      <c r="P379" s="100"/>
      <c r="Q379" s="100"/>
      <c r="R379" s="100"/>
      <c r="S379" s="100"/>
      <c r="T379" s="100"/>
      <c r="U379" s="100"/>
      <c r="V379" s="100"/>
      <c r="W379" s="100"/>
      <c r="X379" s="100"/>
      <c r="Y379" s="100"/>
      <c r="Z379" s="100"/>
    </row>
    <row r="380" ht="15.75" customHeight="1" spans="1:26">
      <c r="A380" s="100"/>
      <c r="B380" s="101"/>
      <c r="C380" s="100"/>
      <c r="D380" s="100"/>
      <c r="E380" s="100"/>
      <c r="F380" s="100"/>
      <c r="G380" s="100"/>
      <c r="H380" s="100"/>
      <c r="I380" s="100"/>
      <c r="J380" s="100"/>
      <c r="K380" s="100"/>
      <c r="L380" s="100"/>
      <c r="M380" s="100"/>
      <c r="N380" s="100"/>
      <c r="O380" s="100"/>
      <c r="P380" s="100"/>
      <c r="Q380" s="100"/>
      <c r="R380" s="100"/>
      <c r="S380" s="100"/>
      <c r="T380" s="100"/>
      <c r="U380" s="100"/>
      <c r="V380" s="100"/>
      <c r="W380" s="100"/>
      <c r="X380" s="100"/>
      <c r="Y380" s="100"/>
      <c r="Z380" s="100"/>
    </row>
    <row r="381" ht="15.75" customHeight="1" spans="1:26">
      <c r="A381" s="100"/>
      <c r="B381" s="101"/>
      <c r="C381" s="100"/>
      <c r="D381" s="100"/>
      <c r="E381" s="100"/>
      <c r="F381" s="100"/>
      <c r="G381" s="100"/>
      <c r="H381" s="100"/>
      <c r="I381" s="100"/>
      <c r="J381" s="100"/>
      <c r="K381" s="100"/>
      <c r="L381" s="100"/>
      <c r="M381" s="100"/>
      <c r="N381" s="100"/>
      <c r="O381" s="100"/>
      <c r="P381" s="100"/>
      <c r="Q381" s="100"/>
      <c r="R381" s="100"/>
      <c r="S381" s="100"/>
      <c r="T381" s="100"/>
      <c r="U381" s="100"/>
      <c r="V381" s="100"/>
      <c r="W381" s="100"/>
      <c r="X381" s="100"/>
      <c r="Y381" s="100"/>
      <c r="Z381" s="100"/>
    </row>
    <row r="382" ht="15.75" customHeight="1" spans="1:26">
      <c r="A382" s="100"/>
      <c r="B382" s="101"/>
      <c r="C382" s="100"/>
      <c r="D382" s="100"/>
      <c r="E382" s="100"/>
      <c r="F382" s="100"/>
      <c r="G382" s="100"/>
      <c r="H382" s="100"/>
      <c r="I382" s="100"/>
      <c r="J382" s="100"/>
      <c r="K382" s="100"/>
      <c r="L382" s="100"/>
      <c r="M382" s="100"/>
      <c r="N382" s="100"/>
      <c r="O382" s="100"/>
      <c r="P382" s="100"/>
      <c r="Q382" s="100"/>
      <c r="R382" s="100"/>
      <c r="S382" s="100"/>
      <c r="T382" s="100"/>
      <c r="U382" s="100"/>
      <c r="V382" s="100"/>
      <c r="W382" s="100"/>
      <c r="X382" s="100"/>
      <c r="Y382" s="100"/>
      <c r="Z382" s="100"/>
    </row>
    <row r="383" ht="15.75" customHeight="1" spans="1:26">
      <c r="A383" s="100"/>
      <c r="B383" s="101"/>
      <c r="C383" s="100"/>
      <c r="D383" s="100"/>
      <c r="E383" s="100"/>
      <c r="F383" s="100"/>
      <c r="G383" s="100"/>
      <c r="H383" s="100"/>
      <c r="I383" s="100"/>
      <c r="J383" s="100"/>
      <c r="K383" s="100"/>
      <c r="L383" s="100"/>
      <c r="M383" s="100"/>
      <c r="N383" s="100"/>
      <c r="O383" s="100"/>
      <c r="P383" s="100"/>
      <c r="Q383" s="100"/>
      <c r="R383" s="100"/>
      <c r="S383" s="100"/>
      <c r="T383" s="100"/>
      <c r="U383" s="100"/>
      <c r="V383" s="100"/>
      <c r="W383" s="100"/>
      <c r="X383" s="100"/>
      <c r="Y383" s="100"/>
      <c r="Z383" s="100"/>
    </row>
    <row r="384" ht="15.75" customHeight="1" spans="1:26">
      <c r="A384" s="100"/>
      <c r="B384" s="101"/>
      <c r="C384" s="100"/>
      <c r="D384" s="100"/>
      <c r="E384" s="100"/>
      <c r="F384" s="100"/>
      <c r="G384" s="100"/>
      <c r="H384" s="100"/>
      <c r="I384" s="100"/>
      <c r="J384" s="100"/>
      <c r="K384" s="100"/>
      <c r="L384" s="100"/>
      <c r="M384" s="100"/>
      <c r="N384" s="100"/>
      <c r="O384" s="100"/>
      <c r="P384" s="100"/>
      <c r="Q384" s="100"/>
      <c r="R384" s="100"/>
      <c r="S384" s="100"/>
      <c r="T384" s="100"/>
      <c r="U384" s="100"/>
      <c r="V384" s="100"/>
      <c r="W384" s="100"/>
      <c r="X384" s="100"/>
      <c r="Y384" s="100"/>
      <c r="Z384" s="100"/>
    </row>
    <row r="385" ht="15.75" customHeight="1" spans="1:26">
      <c r="A385" s="100"/>
      <c r="B385" s="101"/>
      <c r="C385" s="100"/>
      <c r="D385" s="100"/>
      <c r="E385" s="100"/>
      <c r="F385" s="100"/>
      <c r="G385" s="100"/>
      <c r="H385" s="100"/>
      <c r="I385" s="100"/>
      <c r="J385" s="100"/>
      <c r="K385" s="100"/>
      <c r="L385" s="100"/>
      <c r="M385" s="100"/>
      <c r="N385" s="100"/>
      <c r="O385" s="100"/>
      <c r="P385" s="100"/>
      <c r="Q385" s="100"/>
      <c r="R385" s="100"/>
      <c r="S385" s="100"/>
      <c r="T385" s="100"/>
      <c r="U385" s="100"/>
      <c r="V385" s="100"/>
      <c r="W385" s="100"/>
      <c r="X385" s="100"/>
      <c r="Y385" s="100"/>
      <c r="Z385" s="100"/>
    </row>
    <row r="386" ht="15.75" customHeight="1" spans="1:26">
      <c r="A386" s="100"/>
      <c r="B386" s="101"/>
      <c r="C386" s="100"/>
      <c r="D386" s="100"/>
      <c r="E386" s="100"/>
      <c r="F386" s="100"/>
      <c r="G386" s="100"/>
      <c r="H386" s="100"/>
      <c r="I386" s="100"/>
      <c r="J386" s="100"/>
      <c r="K386" s="100"/>
      <c r="L386" s="100"/>
      <c r="M386" s="100"/>
      <c r="N386" s="100"/>
      <c r="O386" s="100"/>
      <c r="P386" s="100"/>
      <c r="Q386" s="100"/>
      <c r="R386" s="100"/>
      <c r="S386" s="100"/>
      <c r="T386" s="100"/>
      <c r="U386" s="100"/>
      <c r="V386" s="100"/>
      <c r="W386" s="100"/>
      <c r="X386" s="100"/>
      <c r="Y386" s="100"/>
      <c r="Z386" s="100"/>
    </row>
    <row r="387" ht="15.75" customHeight="1" spans="1:26">
      <c r="A387" s="100"/>
      <c r="B387" s="101"/>
      <c r="C387" s="100"/>
      <c r="D387" s="100"/>
      <c r="E387" s="100"/>
      <c r="F387" s="100"/>
      <c r="G387" s="100"/>
      <c r="H387" s="100"/>
      <c r="I387" s="100"/>
      <c r="J387" s="100"/>
      <c r="K387" s="100"/>
      <c r="L387" s="100"/>
      <c r="M387" s="100"/>
      <c r="N387" s="100"/>
      <c r="O387" s="100"/>
      <c r="P387" s="100"/>
      <c r="Q387" s="100"/>
      <c r="R387" s="100"/>
      <c r="S387" s="100"/>
      <c r="T387" s="100"/>
      <c r="U387" s="100"/>
      <c r="V387" s="100"/>
      <c r="W387" s="100"/>
      <c r="X387" s="100"/>
      <c r="Y387" s="100"/>
      <c r="Z387" s="100"/>
    </row>
    <row r="388" ht="15.75" customHeight="1" spans="1:26">
      <c r="A388" s="100"/>
      <c r="B388" s="101"/>
      <c r="C388" s="100"/>
      <c r="D388" s="100"/>
      <c r="E388" s="100"/>
      <c r="F388" s="100"/>
      <c r="G388" s="100"/>
      <c r="H388" s="100"/>
      <c r="I388" s="100"/>
      <c r="J388" s="100"/>
      <c r="K388" s="100"/>
      <c r="L388" s="100"/>
      <c r="M388" s="100"/>
      <c r="N388" s="100"/>
      <c r="O388" s="100"/>
      <c r="P388" s="100"/>
      <c r="Q388" s="100"/>
      <c r="R388" s="100"/>
      <c r="S388" s="100"/>
      <c r="T388" s="100"/>
      <c r="U388" s="100"/>
      <c r="V388" s="100"/>
      <c r="W388" s="100"/>
      <c r="X388" s="100"/>
      <c r="Y388" s="100"/>
      <c r="Z388" s="100"/>
    </row>
    <row r="389" ht="15.75" customHeight="1" spans="1:26">
      <c r="A389" s="100"/>
      <c r="B389" s="101"/>
      <c r="C389" s="100"/>
      <c r="D389" s="100"/>
      <c r="E389" s="100"/>
      <c r="F389" s="100"/>
      <c r="G389" s="100"/>
      <c r="H389" s="100"/>
      <c r="I389" s="100"/>
      <c r="J389" s="100"/>
      <c r="K389" s="100"/>
      <c r="L389" s="100"/>
      <c r="M389" s="100"/>
      <c r="N389" s="100"/>
      <c r="O389" s="100"/>
      <c r="P389" s="100"/>
      <c r="Q389" s="100"/>
      <c r="R389" s="100"/>
      <c r="S389" s="100"/>
      <c r="T389" s="100"/>
      <c r="U389" s="100"/>
      <c r="V389" s="100"/>
      <c r="W389" s="100"/>
      <c r="X389" s="100"/>
      <c r="Y389" s="100"/>
      <c r="Z389" s="100"/>
    </row>
    <row r="390" ht="15.75" customHeight="1" spans="1:26">
      <c r="A390" s="100"/>
      <c r="B390" s="101"/>
      <c r="C390" s="100"/>
      <c r="D390" s="100"/>
      <c r="E390" s="100"/>
      <c r="F390" s="100"/>
      <c r="G390" s="100"/>
      <c r="H390" s="100"/>
      <c r="I390" s="100"/>
      <c r="J390" s="100"/>
      <c r="K390" s="100"/>
      <c r="L390" s="100"/>
      <c r="M390" s="100"/>
      <c r="N390" s="100"/>
      <c r="O390" s="100"/>
      <c r="P390" s="100"/>
      <c r="Q390" s="100"/>
      <c r="R390" s="100"/>
      <c r="S390" s="100"/>
      <c r="T390" s="100"/>
      <c r="U390" s="100"/>
      <c r="V390" s="100"/>
      <c r="W390" s="100"/>
      <c r="X390" s="100"/>
      <c r="Y390" s="100"/>
      <c r="Z390" s="100"/>
    </row>
    <row r="391" ht="15.75" customHeight="1" spans="1:26">
      <c r="A391" s="100"/>
      <c r="B391" s="101"/>
      <c r="C391" s="100"/>
      <c r="D391" s="100"/>
      <c r="E391" s="100"/>
      <c r="F391" s="100"/>
      <c r="G391" s="100"/>
      <c r="H391" s="100"/>
      <c r="I391" s="100"/>
      <c r="J391" s="100"/>
      <c r="K391" s="100"/>
      <c r="L391" s="100"/>
      <c r="M391" s="100"/>
      <c r="N391" s="100"/>
      <c r="O391" s="100"/>
      <c r="P391" s="100"/>
      <c r="Q391" s="100"/>
      <c r="R391" s="100"/>
      <c r="S391" s="100"/>
      <c r="T391" s="100"/>
      <c r="U391" s="100"/>
      <c r="V391" s="100"/>
      <c r="W391" s="100"/>
      <c r="X391" s="100"/>
      <c r="Y391" s="100"/>
      <c r="Z391" s="100"/>
    </row>
    <row r="392" ht="15.75" customHeight="1" spans="1:26">
      <c r="A392" s="100"/>
      <c r="B392" s="101"/>
      <c r="C392" s="100"/>
      <c r="D392" s="100"/>
      <c r="E392" s="100"/>
      <c r="F392" s="100"/>
      <c r="G392" s="100"/>
      <c r="H392" s="100"/>
      <c r="I392" s="100"/>
      <c r="J392" s="100"/>
      <c r="K392" s="100"/>
      <c r="L392" s="100"/>
      <c r="M392" s="100"/>
      <c r="N392" s="100"/>
      <c r="O392" s="100"/>
      <c r="P392" s="100"/>
      <c r="Q392" s="100"/>
      <c r="R392" s="100"/>
      <c r="S392" s="100"/>
      <c r="T392" s="100"/>
      <c r="U392" s="100"/>
      <c r="V392" s="100"/>
      <c r="W392" s="100"/>
      <c r="X392" s="100"/>
      <c r="Y392" s="100"/>
      <c r="Z392" s="100"/>
    </row>
    <row r="393" ht="15.75" customHeight="1" spans="1:26">
      <c r="A393" s="100"/>
      <c r="B393" s="101"/>
      <c r="C393" s="100"/>
      <c r="D393" s="100"/>
      <c r="E393" s="100"/>
      <c r="F393" s="100"/>
      <c r="G393" s="100"/>
      <c r="H393" s="100"/>
      <c r="I393" s="100"/>
      <c r="J393" s="100"/>
      <c r="K393" s="100"/>
      <c r="L393" s="100"/>
      <c r="M393" s="100"/>
      <c r="N393" s="100"/>
      <c r="O393" s="100"/>
      <c r="P393" s="100"/>
      <c r="Q393" s="100"/>
      <c r="R393" s="100"/>
      <c r="S393" s="100"/>
      <c r="T393" s="100"/>
      <c r="U393" s="100"/>
      <c r="V393" s="100"/>
      <c r="W393" s="100"/>
      <c r="X393" s="100"/>
      <c r="Y393" s="100"/>
      <c r="Z393" s="100"/>
    </row>
    <row r="394" ht="15.75" customHeight="1" spans="1:26">
      <c r="A394" s="100"/>
      <c r="B394" s="101"/>
      <c r="C394" s="100"/>
      <c r="D394" s="100"/>
      <c r="E394" s="100"/>
      <c r="F394" s="100"/>
      <c r="G394" s="100"/>
      <c r="H394" s="100"/>
      <c r="I394" s="100"/>
      <c r="J394" s="100"/>
      <c r="K394" s="100"/>
      <c r="L394" s="100"/>
      <c r="M394" s="100"/>
      <c r="N394" s="100"/>
      <c r="O394" s="100"/>
      <c r="P394" s="100"/>
      <c r="Q394" s="100"/>
      <c r="R394" s="100"/>
      <c r="S394" s="100"/>
      <c r="T394" s="100"/>
      <c r="U394" s="100"/>
      <c r="V394" s="100"/>
      <c r="W394" s="100"/>
      <c r="X394" s="100"/>
      <c r="Y394" s="100"/>
      <c r="Z394" s="100"/>
    </row>
    <row r="395" ht="15.75" customHeight="1" spans="1:26">
      <c r="A395" s="100"/>
      <c r="B395" s="101"/>
      <c r="C395" s="100"/>
      <c r="D395" s="100"/>
      <c r="E395" s="100"/>
      <c r="F395" s="100"/>
      <c r="G395" s="100"/>
      <c r="H395" s="100"/>
      <c r="I395" s="100"/>
      <c r="J395" s="100"/>
      <c r="K395" s="100"/>
      <c r="L395" s="100"/>
      <c r="M395" s="100"/>
      <c r="N395" s="100"/>
      <c r="O395" s="100"/>
      <c r="P395" s="100"/>
      <c r="Q395" s="100"/>
      <c r="R395" s="100"/>
      <c r="S395" s="100"/>
      <c r="T395" s="100"/>
      <c r="U395" s="100"/>
      <c r="V395" s="100"/>
      <c r="W395" s="100"/>
      <c r="X395" s="100"/>
      <c r="Y395" s="100"/>
      <c r="Z395" s="100"/>
    </row>
    <row r="396" ht="15.75" customHeight="1" spans="1:26">
      <c r="A396" s="100"/>
      <c r="B396" s="101"/>
      <c r="C396" s="100"/>
      <c r="D396" s="100"/>
      <c r="E396" s="100"/>
      <c r="F396" s="100"/>
      <c r="G396" s="100"/>
      <c r="H396" s="100"/>
      <c r="I396" s="100"/>
      <c r="J396" s="100"/>
      <c r="K396" s="100"/>
      <c r="L396" s="100"/>
      <c r="M396" s="100"/>
      <c r="N396" s="100"/>
      <c r="O396" s="100"/>
      <c r="P396" s="100"/>
      <c r="Q396" s="100"/>
      <c r="R396" s="100"/>
      <c r="S396" s="100"/>
      <c r="T396" s="100"/>
      <c r="U396" s="100"/>
      <c r="V396" s="100"/>
      <c r="W396" s="100"/>
      <c r="X396" s="100"/>
      <c r="Y396" s="100"/>
      <c r="Z396" s="100"/>
    </row>
    <row r="397" ht="15.75" customHeight="1" spans="1:26">
      <c r="A397" s="100"/>
      <c r="B397" s="101"/>
      <c r="C397" s="100"/>
      <c r="D397" s="100"/>
      <c r="E397" s="100"/>
      <c r="F397" s="100"/>
      <c r="G397" s="100"/>
      <c r="H397" s="100"/>
      <c r="I397" s="100"/>
      <c r="J397" s="100"/>
      <c r="K397" s="100"/>
      <c r="L397" s="100"/>
      <c r="M397" s="100"/>
      <c r="N397" s="100"/>
      <c r="O397" s="100"/>
      <c r="P397" s="100"/>
      <c r="Q397" s="100"/>
      <c r="R397" s="100"/>
      <c r="S397" s="100"/>
      <c r="T397" s="100"/>
      <c r="U397" s="100"/>
      <c r="V397" s="100"/>
      <c r="W397" s="100"/>
      <c r="X397" s="100"/>
      <c r="Y397" s="100"/>
      <c r="Z397" s="100"/>
    </row>
    <row r="398" ht="15.75" customHeight="1" spans="1:26">
      <c r="A398" s="100"/>
      <c r="B398" s="101"/>
      <c r="C398" s="100"/>
      <c r="D398" s="100"/>
      <c r="E398" s="100"/>
      <c r="F398" s="100"/>
      <c r="G398" s="100"/>
      <c r="H398" s="100"/>
      <c r="I398" s="100"/>
      <c r="J398" s="100"/>
      <c r="K398" s="100"/>
      <c r="L398" s="100"/>
      <c r="M398" s="100"/>
      <c r="N398" s="100"/>
      <c r="O398" s="100"/>
      <c r="P398" s="100"/>
      <c r="Q398" s="100"/>
      <c r="R398" s="100"/>
      <c r="S398" s="100"/>
      <c r="T398" s="100"/>
      <c r="U398" s="100"/>
      <c r="V398" s="100"/>
      <c r="W398" s="100"/>
      <c r="X398" s="100"/>
      <c r="Y398" s="100"/>
      <c r="Z398" s="100"/>
    </row>
    <row r="399" ht="15.75" customHeight="1" spans="1:26">
      <c r="A399" s="100"/>
      <c r="B399" s="101"/>
      <c r="C399" s="100"/>
      <c r="D399" s="100"/>
      <c r="E399" s="100"/>
      <c r="F399" s="100"/>
      <c r="G399" s="100"/>
      <c r="H399" s="100"/>
      <c r="I399" s="100"/>
      <c r="J399" s="100"/>
      <c r="K399" s="100"/>
      <c r="L399" s="100"/>
      <c r="M399" s="100"/>
      <c r="N399" s="100"/>
      <c r="O399" s="100"/>
      <c r="P399" s="100"/>
      <c r="Q399" s="100"/>
      <c r="R399" s="100"/>
      <c r="S399" s="100"/>
      <c r="T399" s="100"/>
      <c r="U399" s="100"/>
      <c r="V399" s="100"/>
      <c r="W399" s="100"/>
      <c r="X399" s="100"/>
      <c r="Y399" s="100"/>
      <c r="Z399" s="100"/>
    </row>
    <row r="400" ht="15.75" customHeight="1" spans="1:26">
      <c r="A400" s="100"/>
      <c r="B400" s="101"/>
      <c r="C400" s="100"/>
      <c r="D400" s="100"/>
      <c r="E400" s="100"/>
      <c r="F400" s="100"/>
      <c r="G400" s="100"/>
      <c r="H400" s="100"/>
      <c r="I400" s="100"/>
      <c r="J400" s="100"/>
      <c r="K400" s="100"/>
      <c r="L400" s="100"/>
      <c r="M400" s="100"/>
      <c r="N400" s="100"/>
      <c r="O400" s="100"/>
      <c r="P400" s="100"/>
      <c r="Q400" s="100"/>
      <c r="R400" s="100"/>
      <c r="S400" s="100"/>
      <c r="T400" s="100"/>
      <c r="U400" s="100"/>
      <c r="V400" s="100"/>
      <c r="W400" s="100"/>
      <c r="X400" s="100"/>
      <c r="Y400" s="100"/>
      <c r="Z400" s="100"/>
    </row>
    <row r="401" ht="15.75" customHeight="1" spans="1:26">
      <c r="A401" s="100"/>
      <c r="B401" s="101"/>
      <c r="C401" s="100"/>
      <c r="D401" s="100"/>
      <c r="E401" s="100"/>
      <c r="F401" s="100"/>
      <c r="G401" s="100"/>
      <c r="H401" s="100"/>
      <c r="I401" s="100"/>
      <c r="J401" s="100"/>
      <c r="K401" s="100"/>
      <c r="L401" s="100"/>
      <c r="M401" s="100"/>
      <c r="N401" s="100"/>
      <c r="O401" s="100"/>
      <c r="P401" s="100"/>
      <c r="Q401" s="100"/>
      <c r="R401" s="100"/>
      <c r="S401" s="100"/>
      <c r="T401" s="100"/>
      <c r="U401" s="100"/>
      <c r="V401" s="100"/>
      <c r="W401" s="100"/>
      <c r="X401" s="100"/>
      <c r="Y401" s="100"/>
      <c r="Z401" s="100"/>
    </row>
    <row r="402" ht="15.75" customHeight="1" spans="1:26">
      <c r="A402" s="100"/>
      <c r="B402" s="101"/>
      <c r="C402" s="100"/>
      <c r="D402" s="100"/>
      <c r="E402" s="100"/>
      <c r="F402" s="100"/>
      <c r="G402" s="100"/>
      <c r="H402" s="100"/>
      <c r="I402" s="100"/>
      <c r="J402" s="100"/>
      <c r="K402" s="100"/>
      <c r="L402" s="100"/>
      <c r="M402" s="100"/>
      <c r="N402" s="100"/>
      <c r="O402" s="100"/>
      <c r="P402" s="100"/>
      <c r="Q402" s="100"/>
      <c r="R402" s="100"/>
      <c r="S402" s="100"/>
      <c r="T402" s="100"/>
      <c r="U402" s="100"/>
      <c r="V402" s="100"/>
      <c r="W402" s="100"/>
      <c r="X402" s="100"/>
      <c r="Y402" s="100"/>
      <c r="Z402" s="100"/>
    </row>
    <row r="403" ht="15.75" customHeight="1" spans="1:26">
      <c r="A403" s="100"/>
      <c r="B403" s="101"/>
      <c r="C403" s="100"/>
      <c r="D403" s="100"/>
      <c r="E403" s="100"/>
      <c r="F403" s="100"/>
      <c r="G403" s="100"/>
      <c r="H403" s="100"/>
      <c r="I403" s="100"/>
      <c r="J403" s="100"/>
      <c r="K403" s="100"/>
      <c r="L403" s="100"/>
      <c r="M403" s="100"/>
      <c r="N403" s="100"/>
      <c r="O403" s="100"/>
      <c r="P403" s="100"/>
      <c r="Q403" s="100"/>
      <c r="R403" s="100"/>
      <c r="S403" s="100"/>
      <c r="T403" s="100"/>
      <c r="U403" s="100"/>
      <c r="V403" s="100"/>
      <c r="W403" s="100"/>
      <c r="X403" s="100"/>
      <c r="Y403" s="100"/>
      <c r="Z403" s="100"/>
    </row>
    <row r="404" ht="15.75" customHeight="1" spans="1:26">
      <c r="A404" s="100"/>
      <c r="B404" s="101"/>
      <c r="C404" s="100"/>
      <c r="D404" s="100"/>
      <c r="E404" s="100"/>
      <c r="F404" s="100"/>
      <c r="G404" s="100"/>
      <c r="H404" s="100"/>
      <c r="I404" s="100"/>
      <c r="J404" s="100"/>
      <c r="K404" s="100"/>
      <c r="L404" s="100"/>
      <c r="M404" s="100"/>
      <c r="N404" s="100"/>
      <c r="O404" s="100"/>
      <c r="P404" s="100"/>
      <c r="Q404" s="100"/>
      <c r="R404" s="100"/>
      <c r="S404" s="100"/>
      <c r="T404" s="100"/>
      <c r="U404" s="100"/>
      <c r="V404" s="100"/>
      <c r="W404" s="100"/>
      <c r="X404" s="100"/>
      <c r="Y404" s="100"/>
      <c r="Z404" s="100"/>
    </row>
    <row r="405" ht="15.75" customHeight="1" spans="1:26">
      <c r="A405" s="100"/>
      <c r="B405" s="101"/>
      <c r="C405" s="100"/>
      <c r="D405" s="100"/>
      <c r="E405" s="100"/>
      <c r="F405" s="100"/>
      <c r="G405" s="100"/>
      <c r="H405" s="100"/>
      <c r="I405" s="100"/>
      <c r="J405" s="100"/>
      <c r="K405" s="100"/>
      <c r="L405" s="100"/>
      <c r="M405" s="100"/>
      <c r="N405" s="100"/>
      <c r="O405" s="100"/>
      <c r="P405" s="100"/>
      <c r="Q405" s="100"/>
      <c r="R405" s="100"/>
      <c r="S405" s="100"/>
      <c r="T405" s="100"/>
      <c r="U405" s="100"/>
      <c r="V405" s="100"/>
      <c r="W405" s="100"/>
      <c r="X405" s="100"/>
      <c r="Y405" s="100"/>
      <c r="Z405" s="100"/>
    </row>
    <row r="406" ht="15.75" customHeight="1" spans="1:26">
      <c r="A406" s="100"/>
      <c r="B406" s="101"/>
      <c r="C406" s="100"/>
      <c r="D406" s="100"/>
      <c r="E406" s="100"/>
      <c r="F406" s="100"/>
      <c r="G406" s="100"/>
      <c r="H406" s="100"/>
      <c r="I406" s="100"/>
      <c r="J406" s="100"/>
      <c r="K406" s="100"/>
      <c r="L406" s="100"/>
      <c r="M406" s="100"/>
      <c r="N406" s="100"/>
      <c r="O406" s="100"/>
      <c r="P406" s="100"/>
      <c r="Q406" s="100"/>
      <c r="R406" s="100"/>
      <c r="S406" s="100"/>
      <c r="T406" s="100"/>
      <c r="U406" s="100"/>
      <c r="V406" s="100"/>
      <c r="W406" s="100"/>
      <c r="X406" s="100"/>
      <c r="Y406" s="100"/>
      <c r="Z406" s="100"/>
    </row>
    <row r="407" ht="15.75" customHeight="1" spans="1:26">
      <c r="A407" s="100"/>
      <c r="B407" s="101"/>
      <c r="C407" s="100"/>
      <c r="D407" s="100"/>
      <c r="E407" s="100"/>
      <c r="F407" s="100"/>
      <c r="G407" s="100"/>
      <c r="H407" s="100"/>
      <c r="I407" s="100"/>
      <c r="J407" s="100"/>
      <c r="K407" s="100"/>
      <c r="L407" s="100"/>
      <c r="M407" s="100"/>
      <c r="N407" s="100"/>
      <c r="O407" s="100"/>
      <c r="P407" s="100"/>
      <c r="Q407" s="100"/>
      <c r="R407" s="100"/>
      <c r="S407" s="100"/>
      <c r="T407" s="100"/>
      <c r="U407" s="100"/>
      <c r="V407" s="100"/>
      <c r="W407" s="100"/>
      <c r="X407" s="100"/>
      <c r="Y407" s="100"/>
      <c r="Z407" s="100"/>
    </row>
    <row r="408" ht="15.75" customHeight="1" spans="1:26">
      <c r="A408" s="100"/>
      <c r="B408" s="101"/>
      <c r="C408" s="100"/>
      <c r="D408" s="100"/>
      <c r="E408" s="100"/>
      <c r="F408" s="100"/>
      <c r="G408" s="100"/>
      <c r="H408" s="100"/>
      <c r="I408" s="100"/>
      <c r="J408" s="100"/>
      <c r="K408" s="100"/>
      <c r="L408" s="100"/>
      <c r="M408" s="100"/>
      <c r="N408" s="100"/>
      <c r="O408" s="100"/>
      <c r="P408" s="100"/>
      <c r="Q408" s="100"/>
      <c r="R408" s="100"/>
      <c r="S408" s="100"/>
      <c r="T408" s="100"/>
      <c r="U408" s="100"/>
      <c r="V408" s="100"/>
      <c r="W408" s="100"/>
      <c r="X408" s="100"/>
      <c r="Y408" s="100"/>
      <c r="Z408" s="100"/>
    </row>
    <row r="409" ht="15.75" customHeight="1" spans="1:26">
      <c r="A409" s="100"/>
      <c r="B409" s="101"/>
      <c r="C409" s="100"/>
      <c r="D409" s="100"/>
      <c r="E409" s="100"/>
      <c r="F409" s="100"/>
      <c r="G409" s="100"/>
      <c r="H409" s="100"/>
      <c r="I409" s="100"/>
      <c r="J409" s="100"/>
      <c r="K409" s="100"/>
      <c r="L409" s="100"/>
      <c r="M409" s="100"/>
      <c r="N409" s="100"/>
      <c r="O409" s="100"/>
      <c r="P409" s="100"/>
      <c r="Q409" s="100"/>
      <c r="R409" s="100"/>
      <c r="S409" s="100"/>
      <c r="T409" s="100"/>
      <c r="U409" s="100"/>
      <c r="V409" s="100"/>
      <c r="W409" s="100"/>
      <c r="X409" s="100"/>
      <c r="Y409" s="100"/>
      <c r="Z409" s="100"/>
    </row>
    <row r="410" ht="15.75" customHeight="1" spans="1:26">
      <c r="A410" s="100"/>
      <c r="B410" s="101"/>
      <c r="C410" s="100"/>
      <c r="D410" s="100"/>
      <c r="E410" s="100"/>
      <c r="F410" s="100"/>
      <c r="G410" s="100"/>
      <c r="H410" s="100"/>
      <c r="I410" s="100"/>
      <c r="J410" s="100"/>
      <c r="K410" s="100"/>
      <c r="L410" s="100"/>
      <c r="M410" s="100"/>
      <c r="N410" s="100"/>
      <c r="O410" s="100"/>
      <c r="P410" s="100"/>
      <c r="Q410" s="100"/>
      <c r="R410" s="100"/>
      <c r="S410" s="100"/>
      <c r="T410" s="100"/>
      <c r="U410" s="100"/>
      <c r="V410" s="100"/>
      <c r="W410" s="100"/>
      <c r="X410" s="100"/>
      <c r="Y410" s="100"/>
      <c r="Z410" s="100"/>
    </row>
    <row r="411" ht="15.75" customHeight="1" spans="1:26">
      <c r="A411" s="100"/>
      <c r="B411" s="101"/>
      <c r="C411" s="100"/>
      <c r="D411" s="100"/>
      <c r="E411" s="100"/>
      <c r="F411" s="100"/>
      <c r="G411" s="100"/>
      <c r="H411" s="100"/>
      <c r="I411" s="100"/>
      <c r="J411" s="100"/>
      <c r="K411" s="100"/>
      <c r="L411" s="100"/>
      <c r="M411" s="100"/>
      <c r="N411" s="100"/>
      <c r="O411" s="100"/>
      <c r="P411" s="100"/>
      <c r="Q411" s="100"/>
      <c r="R411" s="100"/>
      <c r="S411" s="100"/>
      <c r="T411" s="100"/>
      <c r="U411" s="100"/>
      <c r="V411" s="100"/>
      <c r="W411" s="100"/>
      <c r="X411" s="100"/>
      <c r="Y411" s="100"/>
      <c r="Z411" s="100"/>
    </row>
    <row r="412" ht="15.75" customHeight="1" spans="1:26">
      <c r="A412" s="100"/>
      <c r="B412" s="101"/>
      <c r="C412" s="100"/>
      <c r="D412" s="100"/>
      <c r="E412" s="100"/>
      <c r="F412" s="100"/>
      <c r="G412" s="100"/>
      <c r="H412" s="100"/>
      <c r="I412" s="100"/>
      <c r="J412" s="100"/>
      <c r="K412" s="100"/>
      <c r="L412" s="100"/>
      <c r="M412" s="100"/>
      <c r="N412" s="100"/>
      <c r="O412" s="100"/>
      <c r="P412" s="100"/>
      <c r="Q412" s="100"/>
      <c r="R412" s="100"/>
      <c r="S412" s="100"/>
      <c r="T412" s="100"/>
      <c r="U412" s="100"/>
      <c r="V412" s="100"/>
      <c r="W412" s="100"/>
      <c r="X412" s="100"/>
      <c r="Y412" s="100"/>
      <c r="Z412" s="100"/>
    </row>
    <row r="413" ht="15.75" customHeight="1" spans="1:26">
      <c r="A413" s="100"/>
      <c r="B413" s="101"/>
      <c r="C413" s="100"/>
      <c r="D413" s="100"/>
      <c r="E413" s="100"/>
      <c r="F413" s="100"/>
      <c r="G413" s="100"/>
      <c r="H413" s="100"/>
      <c r="I413" s="100"/>
      <c r="J413" s="100"/>
      <c r="K413" s="100"/>
      <c r="L413" s="100"/>
      <c r="M413" s="100"/>
      <c r="N413" s="100"/>
      <c r="O413" s="100"/>
      <c r="P413" s="100"/>
      <c r="Q413" s="100"/>
      <c r="R413" s="100"/>
      <c r="S413" s="100"/>
      <c r="T413" s="100"/>
      <c r="U413" s="100"/>
      <c r="V413" s="100"/>
      <c r="W413" s="100"/>
      <c r="X413" s="100"/>
      <c r="Y413" s="100"/>
      <c r="Z413" s="100"/>
    </row>
    <row r="414" ht="15.75" customHeight="1" spans="1:26">
      <c r="A414" s="100"/>
      <c r="B414" s="101"/>
      <c r="C414" s="100"/>
      <c r="D414" s="100"/>
      <c r="E414" s="100"/>
      <c r="F414" s="100"/>
      <c r="G414" s="100"/>
      <c r="H414" s="100"/>
      <c r="I414" s="100"/>
      <c r="J414" s="100"/>
      <c r="K414" s="100"/>
      <c r="L414" s="100"/>
      <c r="M414" s="100"/>
      <c r="N414" s="100"/>
      <c r="O414" s="100"/>
      <c r="P414" s="100"/>
      <c r="Q414" s="100"/>
      <c r="R414" s="100"/>
      <c r="S414" s="100"/>
      <c r="T414" s="100"/>
      <c r="U414" s="100"/>
      <c r="V414" s="100"/>
      <c r="W414" s="100"/>
      <c r="X414" s="100"/>
      <c r="Y414" s="100"/>
      <c r="Z414" s="100"/>
    </row>
    <row r="415" ht="15.75" customHeight="1" spans="1:26">
      <c r="A415" s="100"/>
      <c r="B415" s="101"/>
      <c r="C415" s="100"/>
      <c r="D415" s="100"/>
      <c r="E415" s="100"/>
      <c r="F415" s="100"/>
      <c r="G415" s="100"/>
      <c r="H415" s="100"/>
      <c r="I415" s="100"/>
      <c r="J415" s="100"/>
      <c r="K415" s="100"/>
      <c r="L415" s="100"/>
      <c r="M415" s="100"/>
      <c r="N415" s="100"/>
      <c r="O415" s="100"/>
      <c r="P415" s="100"/>
      <c r="Q415" s="100"/>
      <c r="R415" s="100"/>
      <c r="S415" s="100"/>
      <c r="T415" s="100"/>
      <c r="U415" s="100"/>
      <c r="V415" s="100"/>
      <c r="W415" s="100"/>
      <c r="X415" s="100"/>
      <c r="Y415" s="100"/>
      <c r="Z415" s="100"/>
    </row>
    <row r="416" ht="15.75" customHeight="1" spans="1:26">
      <c r="A416" s="100"/>
      <c r="B416" s="101"/>
      <c r="C416" s="100"/>
      <c r="D416" s="100"/>
      <c r="E416" s="100"/>
      <c r="F416" s="100"/>
      <c r="G416" s="100"/>
      <c r="H416" s="100"/>
      <c r="I416" s="100"/>
      <c r="J416" s="100"/>
      <c r="K416" s="100"/>
      <c r="L416" s="100"/>
      <c r="M416" s="100"/>
      <c r="N416" s="100"/>
      <c r="O416" s="100"/>
      <c r="P416" s="100"/>
      <c r="Q416" s="100"/>
      <c r="R416" s="100"/>
      <c r="S416" s="100"/>
      <c r="T416" s="100"/>
      <c r="U416" s="100"/>
      <c r="V416" s="100"/>
      <c r="W416" s="100"/>
      <c r="X416" s="100"/>
      <c r="Y416" s="100"/>
      <c r="Z416" s="100"/>
    </row>
    <row r="417" ht="15.75" customHeight="1" spans="1:26">
      <c r="A417" s="100"/>
      <c r="B417" s="101"/>
      <c r="C417" s="100"/>
      <c r="D417" s="100"/>
      <c r="E417" s="100"/>
      <c r="F417" s="100"/>
      <c r="G417" s="100"/>
      <c r="H417" s="100"/>
      <c r="I417" s="100"/>
      <c r="J417" s="100"/>
      <c r="K417" s="100"/>
      <c r="L417" s="100"/>
      <c r="M417" s="100"/>
      <c r="N417" s="100"/>
      <c r="O417" s="100"/>
      <c r="P417" s="100"/>
      <c r="Q417" s="100"/>
      <c r="R417" s="100"/>
      <c r="S417" s="100"/>
      <c r="T417" s="100"/>
      <c r="U417" s="100"/>
      <c r="V417" s="100"/>
      <c r="W417" s="100"/>
      <c r="X417" s="100"/>
      <c r="Y417" s="100"/>
      <c r="Z417" s="100"/>
    </row>
    <row r="418" ht="15.75" customHeight="1" spans="1:26">
      <c r="A418" s="100"/>
      <c r="B418" s="101"/>
      <c r="C418" s="100"/>
      <c r="D418" s="100"/>
      <c r="E418" s="100"/>
      <c r="F418" s="100"/>
      <c r="G418" s="100"/>
      <c r="H418" s="100"/>
      <c r="I418" s="100"/>
      <c r="J418" s="100"/>
      <c r="K418" s="100"/>
      <c r="L418" s="100"/>
      <c r="M418" s="100"/>
      <c r="N418" s="100"/>
      <c r="O418" s="100"/>
      <c r="P418" s="100"/>
      <c r="Q418" s="100"/>
      <c r="R418" s="100"/>
      <c r="S418" s="100"/>
      <c r="T418" s="100"/>
      <c r="U418" s="100"/>
      <c r="V418" s="100"/>
      <c r="W418" s="100"/>
      <c r="X418" s="100"/>
      <c r="Y418" s="100"/>
      <c r="Z418" s="100"/>
    </row>
    <row r="419" ht="15.75" customHeight="1" spans="1:26">
      <c r="A419" s="100"/>
      <c r="B419" s="101"/>
      <c r="C419" s="100"/>
      <c r="D419" s="100"/>
      <c r="E419" s="100"/>
      <c r="F419" s="100"/>
      <c r="G419" s="100"/>
      <c r="H419" s="100"/>
      <c r="I419" s="100"/>
      <c r="J419" s="100"/>
      <c r="K419" s="100"/>
      <c r="L419" s="100"/>
      <c r="M419" s="100"/>
      <c r="N419" s="100"/>
      <c r="O419" s="100"/>
      <c r="P419" s="100"/>
      <c r="Q419" s="100"/>
      <c r="R419" s="100"/>
      <c r="S419" s="100"/>
      <c r="T419" s="100"/>
      <c r="U419" s="100"/>
      <c r="V419" s="100"/>
      <c r="W419" s="100"/>
      <c r="X419" s="100"/>
      <c r="Y419" s="100"/>
      <c r="Z419" s="100"/>
    </row>
    <row r="420" ht="15.75" customHeight="1" spans="1:26">
      <c r="A420" s="100"/>
      <c r="B420" s="101"/>
      <c r="C420" s="100"/>
      <c r="D420" s="100"/>
      <c r="E420" s="100"/>
      <c r="F420" s="100"/>
      <c r="G420" s="100"/>
      <c r="H420" s="100"/>
      <c r="I420" s="100"/>
      <c r="J420" s="100"/>
      <c r="K420" s="100"/>
      <c r="L420" s="100"/>
      <c r="M420" s="100"/>
      <c r="N420" s="100"/>
      <c r="O420" s="100"/>
      <c r="P420" s="100"/>
      <c r="Q420" s="100"/>
      <c r="R420" s="100"/>
      <c r="S420" s="100"/>
      <c r="T420" s="100"/>
      <c r="U420" s="100"/>
      <c r="V420" s="100"/>
      <c r="W420" s="100"/>
      <c r="X420" s="100"/>
      <c r="Y420" s="100"/>
      <c r="Z420" s="100"/>
    </row>
    <row r="421" ht="15.75" customHeight="1" spans="1:26">
      <c r="A421" s="100"/>
      <c r="B421" s="101"/>
      <c r="C421" s="100"/>
      <c r="D421" s="100"/>
      <c r="E421" s="100"/>
      <c r="F421" s="100"/>
      <c r="G421" s="100"/>
      <c r="H421" s="100"/>
      <c r="I421" s="100"/>
      <c r="J421" s="100"/>
      <c r="K421" s="100"/>
      <c r="L421" s="100"/>
      <c r="M421" s="100"/>
      <c r="N421" s="100"/>
      <c r="O421" s="100"/>
      <c r="P421" s="100"/>
      <c r="Q421" s="100"/>
      <c r="R421" s="100"/>
      <c r="S421" s="100"/>
      <c r="T421" s="100"/>
      <c r="U421" s="100"/>
      <c r="V421" s="100"/>
      <c r="W421" s="100"/>
      <c r="X421" s="100"/>
      <c r="Y421" s="100"/>
      <c r="Z421" s="100"/>
    </row>
    <row r="422" ht="15.75" customHeight="1" spans="1:26">
      <c r="A422" s="100"/>
      <c r="B422" s="101"/>
      <c r="C422" s="100"/>
      <c r="D422" s="100"/>
      <c r="E422" s="100"/>
      <c r="F422" s="100"/>
      <c r="G422" s="100"/>
      <c r="H422" s="100"/>
      <c r="I422" s="100"/>
      <c r="J422" s="100"/>
      <c r="K422" s="100"/>
      <c r="L422" s="100"/>
      <c r="M422" s="100"/>
      <c r="N422" s="100"/>
      <c r="O422" s="100"/>
      <c r="P422" s="100"/>
      <c r="Q422" s="100"/>
      <c r="R422" s="100"/>
      <c r="S422" s="100"/>
      <c r="T422" s="100"/>
      <c r="U422" s="100"/>
      <c r="V422" s="100"/>
      <c r="W422" s="100"/>
      <c r="X422" s="100"/>
      <c r="Y422" s="100"/>
      <c r="Z422" s="100"/>
    </row>
    <row r="423" ht="15.75" customHeight="1" spans="1:26">
      <c r="A423" s="100"/>
      <c r="B423" s="101"/>
      <c r="C423" s="100"/>
      <c r="D423" s="100"/>
      <c r="E423" s="100"/>
      <c r="F423" s="100"/>
      <c r="G423" s="100"/>
      <c r="H423" s="100"/>
      <c r="I423" s="100"/>
      <c r="J423" s="100"/>
      <c r="K423" s="100"/>
      <c r="L423" s="100"/>
      <c r="M423" s="100"/>
      <c r="N423" s="100"/>
      <c r="O423" s="100"/>
      <c r="P423" s="100"/>
      <c r="Q423" s="100"/>
      <c r="R423" s="100"/>
      <c r="S423" s="100"/>
      <c r="T423" s="100"/>
      <c r="U423" s="100"/>
      <c r="V423" s="100"/>
      <c r="W423" s="100"/>
      <c r="X423" s="100"/>
      <c r="Y423" s="100"/>
      <c r="Z423" s="100"/>
    </row>
    <row r="424" ht="15.75" customHeight="1" spans="1:26">
      <c r="A424" s="100"/>
      <c r="B424" s="101"/>
      <c r="C424" s="100"/>
      <c r="D424" s="100"/>
      <c r="E424" s="100"/>
      <c r="F424" s="100"/>
      <c r="G424" s="100"/>
      <c r="H424" s="100"/>
      <c r="I424" s="100"/>
      <c r="J424" s="100"/>
      <c r="K424" s="100"/>
      <c r="L424" s="100"/>
      <c r="M424" s="100"/>
      <c r="N424" s="100"/>
      <c r="O424" s="100"/>
      <c r="P424" s="100"/>
      <c r="Q424" s="100"/>
      <c r="R424" s="100"/>
      <c r="S424" s="100"/>
      <c r="T424" s="100"/>
      <c r="U424" s="100"/>
      <c r="V424" s="100"/>
      <c r="W424" s="100"/>
      <c r="X424" s="100"/>
      <c r="Y424" s="100"/>
      <c r="Z424" s="100"/>
    </row>
    <row r="425" ht="15.75" customHeight="1" spans="1:26">
      <c r="A425" s="100"/>
      <c r="B425" s="101"/>
      <c r="C425" s="100"/>
      <c r="D425" s="100"/>
      <c r="E425" s="100"/>
      <c r="F425" s="100"/>
      <c r="G425" s="100"/>
      <c r="H425" s="100"/>
      <c r="I425" s="100"/>
      <c r="J425" s="100"/>
      <c r="K425" s="100"/>
      <c r="L425" s="100"/>
      <c r="M425" s="100"/>
      <c r="N425" s="100"/>
      <c r="O425" s="100"/>
      <c r="P425" s="100"/>
      <c r="Q425" s="100"/>
      <c r="R425" s="100"/>
      <c r="S425" s="100"/>
      <c r="T425" s="100"/>
      <c r="U425" s="100"/>
      <c r="V425" s="100"/>
      <c r="W425" s="100"/>
      <c r="X425" s="100"/>
      <c r="Y425" s="100"/>
      <c r="Z425" s="100"/>
    </row>
    <row r="426" ht="15.75" customHeight="1" spans="1:26">
      <c r="A426" s="100"/>
      <c r="B426" s="101"/>
      <c r="C426" s="100"/>
      <c r="D426" s="100"/>
      <c r="E426" s="100"/>
      <c r="F426" s="100"/>
      <c r="G426" s="100"/>
      <c r="H426" s="100"/>
      <c r="I426" s="100"/>
      <c r="J426" s="100"/>
      <c r="K426" s="100"/>
      <c r="L426" s="100"/>
      <c r="M426" s="100"/>
      <c r="N426" s="100"/>
      <c r="O426" s="100"/>
      <c r="P426" s="100"/>
      <c r="Q426" s="100"/>
      <c r="R426" s="100"/>
      <c r="S426" s="100"/>
      <c r="T426" s="100"/>
      <c r="U426" s="100"/>
      <c r="V426" s="100"/>
      <c r="W426" s="100"/>
      <c r="X426" s="100"/>
      <c r="Y426" s="100"/>
      <c r="Z426" s="100"/>
    </row>
    <row r="427" ht="15.75" customHeight="1" spans="1:26">
      <c r="A427" s="100"/>
      <c r="B427" s="101"/>
      <c r="C427" s="100"/>
      <c r="D427" s="100"/>
      <c r="E427" s="100"/>
      <c r="F427" s="100"/>
      <c r="G427" s="100"/>
      <c r="H427" s="100"/>
      <c r="I427" s="100"/>
      <c r="J427" s="100"/>
      <c r="K427" s="100"/>
      <c r="L427" s="100"/>
      <c r="M427" s="100"/>
      <c r="N427" s="100"/>
      <c r="O427" s="100"/>
      <c r="P427" s="100"/>
      <c r="Q427" s="100"/>
      <c r="R427" s="100"/>
      <c r="S427" s="100"/>
      <c r="T427" s="100"/>
      <c r="U427" s="100"/>
      <c r="V427" s="100"/>
      <c r="W427" s="100"/>
      <c r="X427" s="100"/>
      <c r="Y427" s="100"/>
      <c r="Z427" s="100"/>
    </row>
    <row r="428" ht="15.75" customHeight="1" spans="1:26">
      <c r="A428" s="100"/>
      <c r="B428" s="101"/>
      <c r="C428" s="100"/>
      <c r="D428" s="100"/>
      <c r="E428" s="100"/>
      <c r="F428" s="100"/>
      <c r="G428" s="100"/>
      <c r="H428" s="100"/>
      <c r="I428" s="100"/>
      <c r="J428" s="100"/>
      <c r="K428" s="100"/>
      <c r="L428" s="100"/>
      <c r="M428" s="100"/>
      <c r="N428" s="100"/>
      <c r="O428" s="100"/>
      <c r="P428" s="100"/>
      <c r="Q428" s="100"/>
      <c r="R428" s="100"/>
      <c r="S428" s="100"/>
      <c r="T428" s="100"/>
      <c r="U428" s="100"/>
      <c r="V428" s="100"/>
      <c r="W428" s="100"/>
      <c r="X428" s="100"/>
      <c r="Y428" s="100"/>
      <c r="Z428" s="100"/>
    </row>
    <row r="429" ht="15.75" customHeight="1" spans="1:26">
      <c r="A429" s="100"/>
      <c r="B429" s="101"/>
      <c r="C429" s="100"/>
      <c r="D429" s="100"/>
      <c r="E429" s="100"/>
      <c r="F429" s="100"/>
      <c r="G429" s="100"/>
      <c r="H429" s="100"/>
      <c r="I429" s="100"/>
      <c r="J429" s="100"/>
      <c r="K429" s="100"/>
      <c r="L429" s="100"/>
      <c r="M429" s="100"/>
      <c r="N429" s="100"/>
      <c r="O429" s="100"/>
      <c r="P429" s="100"/>
      <c r="Q429" s="100"/>
      <c r="R429" s="100"/>
      <c r="S429" s="100"/>
      <c r="T429" s="100"/>
      <c r="U429" s="100"/>
      <c r="V429" s="100"/>
      <c r="W429" s="100"/>
      <c r="X429" s="100"/>
      <c r="Y429" s="100"/>
      <c r="Z429" s="100"/>
    </row>
    <row r="430" ht="15.75" customHeight="1" spans="1:26">
      <c r="A430" s="100"/>
      <c r="B430" s="101"/>
      <c r="C430" s="100"/>
      <c r="D430" s="100"/>
      <c r="E430" s="100"/>
      <c r="F430" s="100"/>
      <c r="G430" s="100"/>
      <c r="H430" s="100"/>
      <c r="I430" s="100"/>
      <c r="J430" s="100"/>
      <c r="K430" s="100"/>
      <c r="L430" s="100"/>
      <c r="M430" s="100"/>
      <c r="N430" s="100"/>
      <c r="O430" s="100"/>
      <c r="P430" s="100"/>
      <c r="Q430" s="100"/>
      <c r="R430" s="100"/>
      <c r="S430" s="100"/>
      <c r="T430" s="100"/>
      <c r="U430" s="100"/>
      <c r="V430" s="100"/>
      <c r="W430" s="100"/>
      <c r="X430" s="100"/>
      <c r="Y430" s="100"/>
      <c r="Z430" s="100"/>
    </row>
    <row r="431" ht="15.75" customHeight="1" spans="1:26">
      <c r="A431" s="100"/>
      <c r="B431" s="101"/>
      <c r="C431" s="100"/>
      <c r="D431" s="100"/>
      <c r="E431" s="100"/>
      <c r="F431" s="100"/>
      <c r="G431" s="100"/>
      <c r="H431" s="100"/>
      <c r="I431" s="100"/>
      <c r="J431" s="100"/>
      <c r="K431" s="100"/>
      <c r="L431" s="100"/>
      <c r="M431" s="100"/>
      <c r="N431" s="100"/>
      <c r="O431" s="100"/>
      <c r="P431" s="100"/>
      <c r="Q431" s="100"/>
      <c r="R431" s="100"/>
      <c r="S431" s="100"/>
      <c r="T431" s="100"/>
      <c r="U431" s="100"/>
      <c r="V431" s="100"/>
      <c r="W431" s="100"/>
      <c r="X431" s="100"/>
      <c r="Y431" s="100"/>
      <c r="Z431" s="100"/>
    </row>
    <row r="432" ht="15.75" customHeight="1" spans="1:26">
      <c r="A432" s="100"/>
      <c r="B432" s="101"/>
      <c r="C432" s="100"/>
      <c r="D432" s="100"/>
      <c r="E432" s="100"/>
      <c r="F432" s="100"/>
      <c r="G432" s="100"/>
      <c r="H432" s="100"/>
      <c r="I432" s="100"/>
      <c r="J432" s="100"/>
      <c r="K432" s="100"/>
      <c r="L432" s="100"/>
      <c r="M432" s="100"/>
      <c r="N432" s="100"/>
      <c r="O432" s="100"/>
      <c r="P432" s="100"/>
      <c r="Q432" s="100"/>
      <c r="R432" s="100"/>
      <c r="S432" s="100"/>
      <c r="T432" s="100"/>
      <c r="U432" s="100"/>
      <c r="V432" s="100"/>
      <c r="W432" s="100"/>
      <c r="X432" s="100"/>
      <c r="Y432" s="100"/>
      <c r="Z432" s="100"/>
    </row>
    <row r="433" ht="15.75" customHeight="1" spans="1:26">
      <c r="A433" s="100"/>
      <c r="B433" s="101"/>
      <c r="C433" s="100"/>
      <c r="D433" s="100"/>
      <c r="E433" s="100"/>
      <c r="F433" s="100"/>
      <c r="G433" s="100"/>
      <c r="H433" s="100"/>
      <c r="I433" s="100"/>
      <c r="J433" s="100"/>
      <c r="K433" s="100"/>
      <c r="L433" s="100"/>
      <c r="M433" s="100"/>
      <c r="N433" s="100"/>
      <c r="O433" s="100"/>
      <c r="P433" s="100"/>
      <c r="Q433" s="100"/>
      <c r="R433" s="100"/>
      <c r="S433" s="100"/>
      <c r="T433" s="100"/>
      <c r="U433" s="100"/>
      <c r="V433" s="100"/>
      <c r="W433" s="100"/>
      <c r="X433" s="100"/>
      <c r="Y433" s="100"/>
      <c r="Z433" s="100"/>
    </row>
    <row r="434" ht="15.75" customHeight="1" spans="1:26">
      <c r="A434" s="100"/>
      <c r="B434" s="101"/>
      <c r="C434" s="100"/>
      <c r="D434" s="100"/>
      <c r="E434" s="100"/>
      <c r="F434" s="100"/>
      <c r="G434" s="100"/>
      <c r="H434" s="100"/>
      <c r="I434" s="100"/>
      <c r="J434" s="100"/>
      <c r="K434" s="100"/>
      <c r="L434" s="100"/>
      <c r="M434" s="100"/>
      <c r="N434" s="100"/>
      <c r="O434" s="100"/>
      <c r="P434" s="100"/>
      <c r="Q434" s="100"/>
      <c r="R434" s="100"/>
      <c r="S434" s="100"/>
      <c r="T434" s="100"/>
      <c r="U434" s="100"/>
      <c r="V434" s="100"/>
      <c r="W434" s="100"/>
      <c r="X434" s="100"/>
      <c r="Y434" s="100"/>
      <c r="Z434" s="100"/>
    </row>
    <row r="435" ht="15.75" customHeight="1" spans="1:26">
      <c r="A435" s="100"/>
      <c r="B435" s="101"/>
      <c r="C435" s="100"/>
      <c r="D435" s="100"/>
      <c r="E435" s="100"/>
      <c r="F435" s="100"/>
      <c r="G435" s="100"/>
      <c r="H435" s="100"/>
      <c r="I435" s="100"/>
      <c r="J435" s="100"/>
      <c r="K435" s="100"/>
      <c r="L435" s="100"/>
      <c r="M435" s="100"/>
      <c r="N435" s="100"/>
      <c r="O435" s="100"/>
      <c r="P435" s="100"/>
      <c r="Q435" s="100"/>
      <c r="R435" s="100"/>
      <c r="S435" s="100"/>
      <c r="T435" s="100"/>
      <c r="U435" s="100"/>
      <c r="V435" s="100"/>
      <c r="W435" s="100"/>
      <c r="X435" s="100"/>
      <c r="Y435" s="100"/>
      <c r="Z435" s="100"/>
    </row>
    <row r="436" ht="15.75" customHeight="1" spans="1:26">
      <c r="A436" s="100"/>
      <c r="B436" s="101"/>
      <c r="C436" s="100"/>
      <c r="D436" s="100"/>
      <c r="E436" s="100"/>
      <c r="F436" s="100"/>
      <c r="G436" s="100"/>
      <c r="H436" s="100"/>
      <c r="I436" s="100"/>
      <c r="J436" s="100"/>
      <c r="K436" s="100"/>
      <c r="L436" s="100"/>
      <c r="M436" s="100"/>
      <c r="N436" s="100"/>
      <c r="O436" s="100"/>
      <c r="P436" s="100"/>
      <c r="Q436" s="100"/>
      <c r="R436" s="100"/>
      <c r="S436" s="100"/>
      <c r="T436" s="100"/>
      <c r="U436" s="100"/>
      <c r="V436" s="100"/>
      <c r="W436" s="100"/>
      <c r="X436" s="100"/>
      <c r="Y436" s="100"/>
      <c r="Z436" s="100"/>
    </row>
    <row r="437" ht="15.75" customHeight="1" spans="1:26">
      <c r="A437" s="100"/>
      <c r="B437" s="101"/>
      <c r="C437" s="100"/>
      <c r="D437" s="100"/>
      <c r="E437" s="100"/>
      <c r="F437" s="100"/>
      <c r="G437" s="100"/>
      <c r="H437" s="100"/>
      <c r="I437" s="100"/>
      <c r="J437" s="100"/>
      <c r="K437" s="100"/>
      <c r="L437" s="100"/>
      <c r="M437" s="100"/>
      <c r="N437" s="100"/>
      <c r="O437" s="100"/>
      <c r="P437" s="100"/>
      <c r="Q437" s="100"/>
      <c r="R437" s="100"/>
      <c r="S437" s="100"/>
      <c r="T437" s="100"/>
      <c r="U437" s="100"/>
      <c r="V437" s="100"/>
      <c r="W437" s="100"/>
      <c r="X437" s="100"/>
      <c r="Y437" s="100"/>
      <c r="Z437" s="100"/>
    </row>
    <row r="438" ht="15.75" customHeight="1" spans="1:26">
      <c r="A438" s="100"/>
      <c r="B438" s="101"/>
      <c r="C438" s="100"/>
      <c r="D438" s="100"/>
      <c r="E438" s="100"/>
      <c r="F438" s="100"/>
      <c r="G438" s="100"/>
      <c r="H438" s="100"/>
      <c r="I438" s="100"/>
      <c r="J438" s="100"/>
      <c r="K438" s="100"/>
      <c r="L438" s="100"/>
      <c r="M438" s="100"/>
      <c r="N438" s="100"/>
      <c r="O438" s="100"/>
      <c r="P438" s="100"/>
      <c r="Q438" s="100"/>
      <c r="R438" s="100"/>
      <c r="S438" s="100"/>
      <c r="T438" s="100"/>
      <c r="U438" s="100"/>
      <c r="V438" s="100"/>
      <c r="W438" s="100"/>
      <c r="X438" s="100"/>
      <c r="Y438" s="100"/>
      <c r="Z438" s="100"/>
    </row>
    <row r="439" ht="15.75" customHeight="1" spans="1:26">
      <c r="A439" s="100"/>
      <c r="B439" s="101"/>
      <c r="C439" s="100"/>
      <c r="D439" s="100"/>
      <c r="E439" s="100"/>
      <c r="F439" s="100"/>
      <c r="G439" s="100"/>
      <c r="H439" s="100"/>
      <c r="I439" s="100"/>
      <c r="J439" s="100"/>
      <c r="K439" s="100"/>
      <c r="L439" s="100"/>
      <c r="M439" s="100"/>
      <c r="N439" s="100"/>
      <c r="O439" s="100"/>
      <c r="P439" s="100"/>
      <c r="Q439" s="100"/>
      <c r="R439" s="100"/>
      <c r="S439" s="100"/>
      <c r="T439" s="100"/>
      <c r="U439" s="100"/>
      <c r="V439" s="100"/>
      <c r="W439" s="100"/>
      <c r="X439" s="100"/>
      <c r="Y439" s="100"/>
      <c r="Z439" s="100"/>
    </row>
    <row r="440" ht="15.75" customHeight="1" spans="1:26">
      <c r="A440" s="100"/>
      <c r="B440" s="101"/>
      <c r="C440" s="100"/>
      <c r="D440" s="100"/>
      <c r="E440" s="100"/>
      <c r="F440" s="100"/>
      <c r="G440" s="100"/>
      <c r="H440" s="100"/>
      <c r="I440" s="100"/>
      <c r="J440" s="100"/>
      <c r="K440" s="100"/>
      <c r="L440" s="100"/>
      <c r="M440" s="100"/>
      <c r="N440" s="100"/>
      <c r="O440" s="100"/>
      <c r="P440" s="100"/>
      <c r="Q440" s="100"/>
      <c r="R440" s="100"/>
      <c r="S440" s="100"/>
      <c r="T440" s="100"/>
      <c r="U440" s="100"/>
      <c r="V440" s="100"/>
      <c r="W440" s="100"/>
      <c r="X440" s="100"/>
      <c r="Y440" s="100"/>
      <c r="Z440" s="100"/>
    </row>
    <row r="441" ht="15.75" customHeight="1" spans="1:26">
      <c r="A441" s="100"/>
      <c r="B441" s="101"/>
      <c r="C441" s="100"/>
      <c r="D441" s="100"/>
      <c r="E441" s="100"/>
      <c r="F441" s="100"/>
      <c r="G441" s="100"/>
      <c r="H441" s="100"/>
      <c r="I441" s="100"/>
      <c r="J441" s="100"/>
      <c r="K441" s="100"/>
      <c r="L441" s="100"/>
      <c r="M441" s="100"/>
      <c r="N441" s="100"/>
      <c r="O441" s="100"/>
      <c r="P441" s="100"/>
      <c r="Q441" s="100"/>
      <c r="R441" s="100"/>
      <c r="S441" s="100"/>
      <c r="T441" s="100"/>
      <c r="U441" s="100"/>
      <c r="V441" s="100"/>
      <c r="W441" s="100"/>
      <c r="X441" s="100"/>
      <c r="Y441" s="100"/>
      <c r="Z441" s="100"/>
    </row>
    <row r="442" ht="15.75" customHeight="1" spans="1:26">
      <c r="A442" s="100"/>
      <c r="B442" s="101"/>
      <c r="C442" s="100"/>
      <c r="D442" s="100"/>
      <c r="E442" s="100"/>
      <c r="F442" s="100"/>
      <c r="G442" s="100"/>
      <c r="H442" s="100"/>
      <c r="I442" s="100"/>
      <c r="J442" s="100"/>
      <c r="K442" s="100"/>
      <c r="L442" s="100"/>
      <c r="M442" s="100"/>
      <c r="N442" s="100"/>
      <c r="O442" s="100"/>
      <c r="P442" s="100"/>
      <c r="Q442" s="100"/>
      <c r="R442" s="100"/>
      <c r="S442" s="100"/>
      <c r="T442" s="100"/>
      <c r="U442" s="100"/>
      <c r="V442" s="100"/>
      <c r="W442" s="100"/>
      <c r="X442" s="100"/>
      <c r="Y442" s="100"/>
      <c r="Z442" s="100"/>
    </row>
    <row r="443" ht="15.75" customHeight="1" spans="1:26">
      <c r="A443" s="100"/>
      <c r="B443" s="101"/>
      <c r="C443" s="100"/>
      <c r="D443" s="100"/>
      <c r="E443" s="100"/>
      <c r="F443" s="100"/>
      <c r="G443" s="100"/>
      <c r="H443" s="100"/>
      <c r="I443" s="100"/>
      <c r="J443" s="100"/>
      <c r="K443" s="100"/>
      <c r="L443" s="100"/>
      <c r="M443" s="100"/>
      <c r="N443" s="100"/>
      <c r="O443" s="100"/>
      <c r="P443" s="100"/>
      <c r="Q443" s="100"/>
      <c r="R443" s="100"/>
      <c r="S443" s="100"/>
      <c r="T443" s="100"/>
      <c r="U443" s="100"/>
      <c r="V443" s="100"/>
      <c r="W443" s="100"/>
      <c r="X443" s="100"/>
      <c r="Y443" s="100"/>
      <c r="Z443" s="100"/>
    </row>
    <row r="444" ht="15.75" customHeight="1" spans="1:26">
      <c r="A444" s="100"/>
      <c r="B444" s="101"/>
      <c r="C444" s="100"/>
      <c r="D444" s="100"/>
      <c r="E444" s="100"/>
      <c r="F444" s="100"/>
      <c r="G444" s="100"/>
      <c r="H444" s="100"/>
      <c r="I444" s="100"/>
      <c r="J444" s="100"/>
      <c r="K444" s="100"/>
      <c r="L444" s="100"/>
      <c r="M444" s="100"/>
      <c r="N444" s="100"/>
      <c r="O444" s="100"/>
      <c r="P444" s="100"/>
      <c r="Q444" s="100"/>
      <c r="R444" s="100"/>
      <c r="S444" s="100"/>
      <c r="T444" s="100"/>
      <c r="U444" s="100"/>
      <c r="V444" s="100"/>
      <c r="W444" s="100"/>
      <c r="X444" s="100"/>
      <c r="Y444" s="100"/>
      <c r="Z444" s="100"/>
    </row>
    <row r="445" ht="15.75" customHeight="1" spans="1:26">
      <c r="A445" s="100"/>
      <c r="B445" s="101"/>
      <c r="C445" s="100"/>
      <c r="D445" s="100"/>
      <c r="E445" s="100"/>
      <c r="F445" s="100"/>
      <c r="G445" s="100"/>
      <c r="H445" s="100"/>
      <c r="I445" s="100"/>
      <c r="J445" s="100"/>
      <c r="K445" s="100"/>
      <c r="L445" s="100"/>
      <c r="M445" s="100"/>
      <c r="N445" s="100"/>
      <c r="O445" s="100"/>
      <c r="P445" s="100"/>
      <c r="Q445" s="100"/>
      <c r="R445" s="100"/>
      <c r="S445" s="100"/>
      <c r="T445" s="100"/>
      <c r="U445" s="100"/>
      <c r="V445" s="100"/>
      <c r="W445" s="100"/>
      <c r="X445" s="100"/>
      <c r="Y445" s="100"/>
      <c r="Z445" s="100"/>
    </row>
    <row r="446" ht="15.75" customHeight="1" spans="1:26">
      <c r="A446" s="100"/>
      <c r="B446" s="101"/>
      <c r="C446" s="100"/>
      <c r="D446" s="100"/>
      <c r="E446" s="100"/>
      <c r="F446" s="100"/>
      <c r="G446" s="100"/>
      <c r="H446" s="100"/>
      <c r="I446" s="100"/>
      <c r="J446" s="100"/>
      <c r="K446" s="100"/>
      <c r="L446" s="100"/>
      <c r="M446" s="100"/>
      <c r="N446" s="100"/>
      <c r="O446" s="100"/>
      <c r="P446" s="100"/>
      <c r="Q446" s="100"/>
      <c r="R446" s="100"/>
      <c r="S446" s="100"/>
      <c r="T446" s="100"/>
      <c r="U446" s="100"/>
      <c r="V446" s="100"/>
      <c r="W446" s="100"/>
      <c r="X446" s="100"/>
      <c r="Y446" s="100"/>
      <c r="Z446" s="100"/>
    </row>
    <row r="447" ht="15.75" customHeight="1" spans="1:26">
      <c r="A447" s="100"/>
      <c r="B447" s="101"/>
      <c r="C447" s="100"/>
      <c r="D447" s="100"/>
      <c r="E447" s="100"/>
      <c r="F447" s="100"/>
      <c r="G447" s="100"/>
      <c r="H447" s="100"/>
      <c r="I447" s="100"/>
      <c r="J447" s="100"/>
      <c r="K447" s="100"/>
      <c r="L447" s="100"/>
      <c r="M447" s="100"/>
      <c r="N447" s="100"/>
      <c r="O447" s="100"/>
      <c r="P447" s="100"/>
      <c r="Q447" s="100"/>
      <c r="R447" s="100"/>
      <c r="S447" s="100"/>
      <c r="T447" s="100"/>
      <c r="U447" s="100"/>
      <c r="V447" s="100"/>
      <c r="W447" s="100"/>
      <c r="X447" s="100"/>
      <c r="Y447" s="100"/>
      <c r="Z447" s="100"/>
    </row>
    <row r="448" ht="15.75" customHeight="1" spans="1:26">
      <c r="A448" s="100"/>
      <c r="B448" s="101"/>
      <c r="C448" s="100"/>
      <c r="D448" s="100"/>
      <c r="E448" s="100"/>
      <c r="F448" s="100"/>
      <c r="G448" s="100"/>
      <c r="H448" s="100"/>
      <c r="I448" s="100"/>
      <c r="J448" s="100"/>
      <c r="K448" s="100"/>
      <c r="L448" s="100"/>
      <c r="M448" s="100"/>
      <c r="N448" s="100"/>
      <c r="O448" s="100"/>
      <c r="P448" s="100"/>
      <c r="Q448" s="100"/>
      <c r="R448" s="100"/>
      <c r="S448" s="100"/>
      <c r="T448" s="100"/>
      <c r="U448" s="100"/>
      <c r="V448" s="100"/>
      <c r="W448" s="100"/>
      <c r="X448" s="100"/>
      <c r="Y448" s="100"/>
      <c r="Z448" s="100"/>
    </row>
    <row r="449" ht="15.75" customHeight="1" spans="1:26">
      <c r="A449" s="100"/>
      <c r="B449" s="101"/>
      <c r="C449" s="100"/>
      <c r="D449" s="100"/>
      <c r="E449" s="100"/>
      <c r="F449" s="100"/>
      <c r="G449" s="100"/>
      <c r="H449" s="100"/>
      <c r="I449" s="100"/>
      <c r="J449" s="100"/>
      <c r="K449" s="100"/>
      <c r="L449" s="100"/>
      <c r="M449" s="100"/>
      <c r="N449" s="100"/>
      <c r="O449" s="100"/>
      <c r="P449" s="100"/>
      <c r="Q449" s="100"/>
      <c r="R449" s="100"/>
      <c r="S449" s="100"/>
      <c r="T449" s="100"/>
      <c r="U449" s="100"/>
      <c r="V449" s="100"/>
      <c r="W449" s="100"/>
      <c r="X449" s="100"/>
      <c r="Y449" s="100"/>
      <c r="Z449" s="100"/>
    </row>
    <row r="450" ht="15.75" customHeight="1" spans="1:26">
      <c r="A450" s="100"/>
      <c r="B450" s="101"/>
      <c r="C450" s="100"/>
      <c r="D450" s="100"/>
      <c r="E450" s="100"/>
      <c r="F450" s="100"/>
      <c r="G450" s="100"/>
      <c r="H450" s="100"/>
      <c r="I450" s="100"/>
      <c r="J450" s="100"/>
      <c r="K450" s="100"/>
      <c r="L450" s="100"/>
      <c r="M450" s="100"/>
      <c r="N450" s="100"/>
      <c r="O450" s="100"/>
      <c r="P450" s="100"/>
      <c r="Q450" s="100"/>
      <c r="R450" s="100"/>
      <c r="S450" s="100"/>
      <c r="T450" s="100"/>
      <c r="U450" s="100"/>
      <c r="V450" s="100"/>
      <c r="W450" s="100"/>
      <c r="X450" s="100"/>
      <c r="Y450" s="100"/>
      <c r="Z450" s="100"/>
    </row>
    <row r="451" ht="15.75" customHeight="1" spans="1:26">
      <c r="A451" s="100"/>
      <c r="B451" s="101"/>
      <c r="C451" s="100"/>
      <c r="D451" s="100"/>
      <c r="E451" s="100"/>
      <c r="F451" s="100"/>
      <c r="G451" s="100"/>
      <c r="H451" s="100"/>
      <c r="I451" s="100"/>
      <c r="J451" s="100"/>
      <c r="K451" s="100"/>
      <c r="L451" s="100"/>
      <c r="M451" s="100"/>
      <c r="N451" s="100"/>
      <c r="O451" s="100"/>
      <c r="P451" s="100"/>
      <c r="Q451" s="100"/>
      <c r="R451" s="100"/>
      <c r="S451" s="100"/>
      <c r="T451" s="100"/>
      <c r="U451" s="100"/>
      <c r="V451" s="100"/>
      <c r="W451" s="100"/>
      <c r="X451" s="100"/>
      <c r="Y451" s="100"/>
      <c r="Z451" s="100"/>
    </row>
    <row r="452" ht="15.75" customHeight="1" spans="1:26">
      <c r="A452" s="100"/>
      <c r="B452" s="101"/>
      <c r="C452" s="100"/>
      <c r="D452" s="100"/>
      <c r="E452" s="100"/>
      <c r="F452" s="100"/>
      <c r="G452" s="100"/>
      <c r="H452" s="100"/>
      <c r="I452" s="100"/>
      <c r="J452" s="100"/>
      <c r="K452" s="100"/>
      <c r="L452" s="100"/>
      <c r="M452" s="100"/>
      <c r="N452" s="100"/>
      <c r="O452" s="100"/>
      <c r="P452" s="100"/>
      <c r="Q452" s="100"/>
      <c r="R452" s="100"/>
      <c r="S452" s="100"/>
      <c r="T452" s="100"/>
      <c r="U452" s="100"/>
      <c r="V452" s="100"/>
      <c r="W452" s="100"/>
      <c r="X452" s="100"/>
      <c r="Y452" s="100"/>
      <c r="Z452" s="100"/>
    </row>
    <row r="453" ht="15.75" customHeight="1" spans="1:26">
      <c r="A453" s="100"/>
      <c r="B453" s="101"/>
      <c r="C453" s="100"/>
      <c r="D453" s="100"/>
      <c r="E453" s="100"/>
      <c r="F453" s="100"/>
      <c r="G453" s="100"/>
      <c r="H453" s="100"/>
      <c r="I453" s="100"/>
      <c r="J453" s="100"/>
      <c r="K453" s="100"/>
      <c r="L453" s="100"/>
      <c r="M453" s="100"/>
      <c r="N453" s="100"/>
      <c r="O453" s="100"/>
      <c r="P453" s="100"/>
      <c r="Q453" s="100"/>
      <c r="R453" s="100"/>
      <c r="S453" s="100"/>
      <c r="T453" s="100"/>
      <c r="U453" s="100"/>
      <c r="V453" s="100"/>
      <c r="W453" s="100"/>
      <c r="X453" s="100"/>
      <c r="Y453" s="100"/>
      <c r="Z453" s="100"/>
    </row>
    <row r="454" ht="15.75" customHeight="1" spans="1:26">
      <c r="A454" s="100"/>
      <c r="B454" s="101"/>
      <c r="C454" s="100"/>
      <c r="D454" s="100"/>
      <c r="E454" s="100"/>
      <c r="F454" s="100"/>
      <c r="G454" s="100"/>
      <c r="H454" s="100"/>
      <c r="I454" s="100"/>
      <c r="J454" s="100"/>
      <c r="K454" s="100"/>
      <c r="L454" s="100"/>
      <c r="M454" s="100"/>
      <c r="N454" s="100"/>
      <c r="O454" s="100"/>
      <c r="P454" s="100"/>
      <c r="Q454" s="100"/>
      <c r="R454" s="100"/>
      <c r="S454" s="100"/>
      <c r="T454" s="100"/>
      <c r="U454" s="100"/>
      <c r="V454" s="100"/>
      <c r="W454" s="100"/>
      <c r="X454" s="100"/>
      <c r="Y454" s="100"/>
      <c r="Z454" s="100"/>
    </row>
    <row r="455" ht="15.75" customHeight="1" spans="1:26">
      <c r="A455" s="100"/>
      <c r="B455" s="101"/>
      <c r="C455" s="100"/>
      <c r="D455" s="100"/>
      <c r="E455" s="100"/>
      <c r="F455" s="100"/>
      <c r="G455" s="100"/>
      <c r="H455" s="100"/>
      <c r="I455" s="100"/>
      <c r="J455" s="100"/>
      <c r="K455" s="100"/>
      <c r="L455" s="100"/>
      <c r="M455" s="100"/>
      <c r="N455" s="100"/>
      <c r="O455" s="100"/>
      <c r="P455" s="100"/>
      <c r="Q455" s="100"/>
      <c r="R455" s="100"/>
      <c r="S455" s="100"/>
      <c r="T455" s="100"/>
      <c r="U455" s="100"/>
      <c r="V455" s="100"/>
      <c r="W455" s="100"/>
      <c r="X455" s="100"/>
      <c r="Y455" s="100"/>
      <c r="Z455" s="100"/>
    </row>
    <row r="456" ht="15.75" customHeight="1" spans="1:26">
      <c r="A456" s="100"/>
      <c r="B456" s="101"/>
      <c r="C456" s="100"/>
      <c r="D456" s="100"/>
      <c r="E456" s="100"/>
      <c r="F456" s="100"/>
      <c r="G456" s="100"/>
      <c r="H456" s="100"/>
      <c r="I456" s="100"/>
      <c r="J456" s="100"/>
      <c r="K456" s="100"/>
      <c r="L456" s="100"/>
      <c r="M456" s="100"/>
      <c r="N456" s="100"/>
      <c r="O456" s="100"/>
      <c r="P456" s="100"/>
      <c r="Q456" s="100"/>
      <c r="R456" s="100"/>
      <c r="S456" s="100"/>
      <c r="T456" s="100"/>
      <c r="U456" s="100"/>
      <c r="V456" s="100"/>
      <c r="W456" s="100"/>
      <c r="X456" s="100"/>
      <c r="Y456" s="100"/>
      <c r="Z456" s="100"/>
    </row>
    <row r="457" ht="15.75" customHeight="1" spans="1:26">
      <c r="A457" s="100"/>
      <c r="B457" s="101"/>
      <c r="C457" s="100"/>
      <c r="D457" s="100"/>
      <c r="E457" s="100"/>
      <c r="F457" s="100"/>
      <c r="G457" s="100"/>
      <c r="H457" s="100"/>
      <c r="I457" s="100"/>
      <c r="J457" s="100"/>
      <c r="K457" s="100"/>
      <c r="L457" s="100"/>
      <c r="M457" s="100"/>
      <c r="N457" s="100"/>
      <c r="O457" s="100"/>
      <c r="P457" s="100"/>
      <c r="Q457" s="100"/>
      <c r="R457" s="100"/>
      <c r="S457" s="100"/>
      <c r="T457" s="100"/>
      <c r="U457" s="100"/>
      <c r="V457" s="100"/>
      <c r="W457" s="100"/>
      <c r="X457" s="100"/>
      <c r="Y457" s="100"/>
      <c r="Z457" s="100"/>
    </row>
    <row r="458" ht="15.75" customHeight="1" spans="1:26">
      <c r="A458" s="100"/>
      <c r="B458" s="101"/>
      <c r="C458" s="100"/>
      <c r="D458" s="100"/>
      <c r="E458" s="100"/>
      <c r="F458" s="100"/>
      <c r="G458" s="100"/>
      <c r="H458" s="100"/>
      <c r="I458" s="100"/>
      <c r="J458" s="100"/>
      <c r="K458" s="100"/>
      <c r="L458" s="100"/>
      <c r="M458" s="100"/>
      <c r="N458" s="100"/>
      <c r="O458" s="100"/>
      <c r="P458" s="100"/>
      <c r="Q458" s="100"/>
      <c r="R458" s="100"/>
      <c r="S458" s="100"/>
      <c r="T458" s="100"/>
      <c r="U458" s="100"/>
      <c r="V458" s="100"/>
      <c r="W458" s="100"/>
      <c r="X458" s="100"/>
      <c r="Y458" s="100"/>
      <c r="Z458" s="100"/>
    </row>
    <row r="459" ht="15.75" customHeight="1" spans="1:26">
      <c r="A459" s="100"/>
      <c r="B459" s="101"/>
      <c r="C459" s="100"/>
      <c r="D459" s="100"/>
      <c r="E459" s="100"/>
      <c r="F459" s="100"/>
      <c r="G459" s="100"/>
      <c r="H459" s="100"/>
      <c r="I459" s="100"/>
      <c r="J459" s="100"/>
      <c r="K459" s="100"/>
      <c r="L459" s="100"/>
      <c r="M459" s="100"/>
      <c r="N459" s="100"/>
      <c r="O459" s="100"/>
      <c r="P459" s="100"/>
      <c r="Q459" s="100"/>
      <c r="R459" s="100"/>
      <c r="S459" s="100"/>
      <c r="T459" s="100"/>
      <c r="U459" s="100"/>
      <c r="V459" s="100"/>
      <c r="W459" s="100"/>
      <c r="X459" s="100"/>
      <c r="Y459" s="100"/>
      <c r="Z459" s="100"/>
    </row>
    <row r="460" ht="15.75" customHeight="1" spans="1:26">
      <c r="A460" s="100"/>
      <c r="B460" s="101"/>
      <c r="C460" s="100"/>
      <c r="D460" s="100"/>
      <c r="E460" s="100"/>
      <c r="F460" s="100"/>
      <c r="G460" s="100"/>
      <c r="H460" s="100"/>
      <c r="I460" s="100"/>
      <c r="J460" s="100"/>
      <c r="K460" s="100"/>
      <c r="L460" s="100"/>
      <c r="M460" s="100"/>
      <c r="N460" s="100"/>
      <c r="O460" s="100"/>
      <c r="P460" s="100"/>
      <c r="Q460" s="100"/>
      <c r="R460" s="100"/>
      <c r="S460" s="100"/>
      <c r="T460" s="100"/>
      <c r="U460" s="100"/>
      <c r="V460" s="100"/>
      <c r="W460" s="100"/>
      <c r="X460" s="100"/>
      <c r="Y460" s="100"/>
      <c r="Z460" s="100"/>
    </row>
    <row r="461" ht="15.75" customHeight="1" spans="1:26">
      <c r="A461" s="100"/>
      <c r="B461" s="101"/>
      <c r="C461" s="100"/>
      <c r="D461" s="100"/>
      <c r="E461" s="100"/>
      <c r="F461" s="100"/>
      <c r="G461" s="100"/>
      <c r="H461" s="100"/>
      <c r="I461" s="100"/>
      <c r="J461" s="100"/>
      <c r="K461" s="100"/>
      <c r="L461" s="100"/>
      <c r="M461" s="100"/>
      <c r="N461" s="100"/>
      <c r="O461" s="100"/>
      <c r="P461" s="100"/>
      <c r="Q461" s="100"/>
      <c r="R461" s="100"/>
      <c r="S461" s="100"/>
      <c r="T461" s="100"/>
      <c r="U461" s="100"/>
      <c r="V461" s="100"/>
      <c r="W461" s="100"/>
      <c r="X461" s="100"/>
      <c r="Y461" s="100"/>
      <c r="Z461" s="100"/>
    </row>
    <row r="462" ht="15.75" customHeight="1" spans="1:26">
      <c r="A462" s="100"/>
      <c r="B462" s="101"/>
      <c r="C462" s="100"/>
      <c r="D462" s="100"/>
      <c r="E462" s="100"/>
      <c r="F462" s="100"/>
      <c r="G462" s="100"/>
      <c r="H462" s="100"/>
      <c r="I462" s="100"/>
      <c r="J462" s="100"/>
      <c r="K462" s="100"/>
      <c r="L462" s="100"/>
      <c r="M462" s="100"/>
      <c r="N462" s="100"/>
      <c r="O462" s="100"/>
      <c r="P462" s="100"/>
      <c r="Q462" s="100"/>
      <c r="R462" s="100"/>
      <c r="S462" s="100"/>
      <c r="T462" s="100"/>
      <c r="U462" s="100"/>
      <c r="V462" s="100"/>
      <c r="W462" s="100"/>
      <c r="X462" s="100"/>
      <c r="Y462" s="100"/>
      <c r="Z462" s="100"/>
    </row>
    <row r="463" ht="15.75" customHeight="1" spans="1:26">
      <c r="A463" s="100"/>
      <c r="B463" s="101"/>
      <c r="C463" s="100"/>
      <c r="D463" s="100"/>
      <c r="E463" s="100"/>
      <c r="F463" s="100"/>
      <c r="G463" s="100"/>
      <c r="H463" s="100"/>
      <c r="I463" s="100"/>
      <c r="J463" s="100"/>
      <c r="K463" s="100"/>
      <c r="L463" s="100"/>
      <c r="M463" s="100"/>
      <c r="N463" s="100"/>
      <c r="O463" s="100"/>
      <c r="P463" s="100"/>
      <c r="Q463" s="100"/>
      <c r="R463" s="100"/>
      <c r="S463" s="100"/>
      <c r="T463" s="100"/>
      <c r="U463" s="100"/>
      <c r="V463" s="100"/>
      <c r="W463" s="100"/>
      <c r="X463" s="100"/>
      <c r="Y463" s="100"/>
      <c r="Z463" s="100"/>
    </row>
    <row r="464" ht="15.75" customHeight="1" spans="1:26">
      <c r="A464" s="100"/>
      <c r="B464" s="101"/>
      <c r="C464" s="100"/>
      <c r="D464" s="100"/>
      <c r="E464" s="100"/>
      <c r="F464" s="100"/>
      <c r="G464" s="100"/>
      <c r="H464" s="100"/>
      <c r="I464" s="100"/>
      <c r="J464" s="100"/>
      <c r="K464" s="100"/>
      <c r="L464" s="100"/>
      <c r="M464" s="100"/>
      <c r="N464" s="100"/>
      <c r="O464" s="100"/>
      <c r="P464" s="100"/>
      <c r="Q464" s="100"/>
      <c r="R464" s="100"/>
      <c r="S464" s="100"/>
      <c r="T464" s="100"/>
      <c r="U464" s="100"/>
      <c r="V464" s="100"/>
      <c r="W464" s="100"/>
      <c r="X464" s="100"/>
      <c r="Y464" s="100"/>
      <c r="Z464" s="100"/>
    </row>
    <row r="465" ht="15.75" customHeight="1" spans="1:26">
      <c r="A465" s="100"/>
      <c r="B465" s="101"/>
      <c r="C465" s="100"/>
      <c r="D465" s="100"/>
      <c r="E465" s="100"/>
      <c r="F465" s="100"/>
      <c r="G465" s="100"/>
      <c r="H465" s="100"/>
      <c r="I465" s="100"/>
      <c r="J465" s="100"/>
      <c r="K465" s="100"/>
      <c r="L465" s="100"/>
      <c r="M465" s="100"/>
      <c r="N465" s="100"/>
      <c r="O465" s="100"/>
      <c r="P465" s="100"/>
      <c r="Q465" s="100"/>
      <c r="R465" s="100"/>
      <c r="S465" s="100"/>
      <c r="T465" s="100"/>
      <c r="U465" s="100"/>
      <c r="V465" s="100"/>
      <c r="W465" s="100"/>
      <c r="X465" s="100"/>
      <c r="Y465" s="100"/>
      <c r="Z465" s="100"/>
    </row>
    <row r="466" ht="15.75" customHeight="1" spans="1:26">
      <c r="A466" s="100"/>
      <c r="B466" s="101"/>
      <c r="C466" s="100"/>
      <c r="D466" s="100"/>
      <c r="E466" s="100"/>
      <c r="F466" s="100"/>
      <c r="G466" s="100"/>
      <c r="H466" s="100"/>
      <c r="I466" s="100"/>
      <c r="J466" s="100"/>
      <c r="K466" s="100"/>
      <c r="L466" s="100"/>
      <c r="M466" s="100"/>
      <c r="N466" s="100"/>
      <c r="O466" s="100"/>
      <c r="P466" s="100"/>
      <c r="Q466" s="100"/>
      <c r="R466" s="100"/>
      <c r="S466" s="100"/>
      <c r="T466" s="100"/>
      <c r="U466" s="100"/>
      <c r="V466" s="100"/>
      <c r="W466" s="100"/>
      <c r="X466" s="100"/>
      <c r="Y466" s="100"/>
      <c r="Z466" s="100"/>
    </row>
    <row r="467" ht="15.75" customHeight="1" spans="1:26">
      <c r="A467" s="100"/>
      <c r="B467" s="101"/>
      <c r="C467" s="100"/>
      <c r="D467" s="100"/>
      <c r="E467" s="100"/>
      <c r="F467" s="100"/>
      <c r="G467" s="100"/>
      <c r="H467" s="100"/>
      <c r="I467" s="100"/>
      <c r="J467" s="100"/>
      <c r="K467" s="100"/>
      <c r="L467" s="100"/>
      <c r="M467" s="100"/>
      <c r="N467" s="100"/>
      <c r="O467" s="100"/>
      <c r="P467" s="100"/>
      <c r="Q467" s="100"/>
      <c r="R467" s="100"/>
      <c r="S467" s="100"/>
      <c r="T467" s="100"/>
      <c r="U467" s="100"/>
      <c r="V467" s="100"/>
      <c r="W467" s="100"/>
      <c r="X467" s="100"/>
      <c r="Y467" s="100"/>
      <c r="Z467" s="100"/>
    </row>
    <row r="468" ht="15.75" customHeight="1" spans="1:26">
      <c r="A468" s="100"/>
      <c r="B468" s="101"/>
      <c r="C468" s="100"/>
      <c r="D468" s="100"/>
      <c r="E468" s="100"/>
      <c r="F468" s="100"/>
      <c r="G468" s="100"/>
      <c r="H468" s="100"/>
      <c r="I468" s="100"/>
      <c r="J468" s="100"/>
      <c r="K468" s="100"/>
      <c r="L468" s="100"/>
      <c r="M468" s="100"/>
      <c r="N468" s="100"/>
      <c r="O468" s="100"/>
      <c r="P468" s="100"/>
      <c r="Q468" s="100"/>
      <c r="R468" s="100"/>
      <c r="S468" s="100"/>
      <c r="T468" s="100"/>
      <c r="U468" s="100"/>
      <c r="V468" s="100"/>
      <c r="W468" s="100"/>
      <c r="X468" s="100"/>
      <c r="Y468" s="100"/>
      <c r="Z468" s="100"/>
    </row>
    <row r="469" ht="15.75" customHeight="1" spans="1:26">
      <c r="A469" s="100"/>
      <c r="B469" s="101"/>
      <c r="C469" s="100"/>
      <c r="D469" s="100"/>
      <c r="E469" s="100"/>
      <c r="F469" s="100"/>
      <c r="G469" s="100"/>
      <c r="H469" s="100"/>
      <c r="I469" s="100"/>
      <c r="J469" s="100"/>
      <c r="K469" s="100"/>
      <c r="L469" s="100"/>
      <c r="M469" s="100"/>
      <c r="N469" s="100"/>
      <c r="O469" s="100"/>
      <c r="P469" s="100"/>
      <c r="Q469" s="100"/>
      <c r="R469" s="100"/>
      <c r="S469" s="100"/>
      <c r="T469" s="100"/>
      <c r="U469" s="100"/>
      <c r="V469" s="100"/>
      <c r="W469" s="100"/>
      <c r="X469" s="100"/>
      <c r="Y469" s="100"/>
      <c r="Z469" s="100"/>
    </row>
    <row r="470" ht="15.75" customHeight="1" spans="1:26">
      <c r="A470" s="100"/>
      <c r="B470" s="101"/>
      <c r="C470" s="100"/>
      <c r="D470" s="100"/>
      <c r="E470" s="100"/>
      <c r="F470" s="100"/>
      <c r="G470" s="100"/>
      <c r="H470" s="100"/>
      <c r="I470" s="100"/>
      <c r="J470" s="100"/>
      <c r="K470" s="100"/>
      <c r="L470" s="100"/>
      <c r="M470" s="100"/>
      <c r="N470" s="100"/>
      <c r="O470" s="100"/>
      <c r="P470" s="100"/>
      <c r="Q470" s="100"/>
      <c r="R470" s="100"/>
      <c r="S470" s="100"/>
      <c r="T470" s="100"/>
      <c r="U470" s="100"/>
      <c r="V470" s="100"/>
      <c r="W470" s="100"/>
      <c r="X470" s="100"/>
      <c r="Y470" s="100"/>
      <c r="Z470" s="100"/>
    </row>
    <row r="471" ht="15.75" customHeight="1" spans="1:26">
      <c r="A471" s="100"/>
      <c r="B471" s="101"/>
      <c r="C471" s="100"/>
      <c r="D471" s="100"/>
      <c r="E471" s="100"/>
      <c r="F471" s="100"/>
      <c r="G471" s="100"/>
      <c r="H471" s="100"/>
      <c r="I471" s="100"/>
      <c r="J471" s="100"/>
      <c r="K471" s="100"/>
      <c r="L471" s="100"/>
      <c r="M471" s="100"/>
      <c r="N471" s="100"/>
      <c r="O471" s="100"/>
      <c r="P471" s="100"/>
      <c r="Q471" s="100"/>
      <c r="R471" s="100"/>
      <c r="S471" s="100"/>
      <c r="T471" s="100"/>
      <c r="U471" s="100"/>
      <c r="V471" s="100"/>
      <c r="W471" s="100"/>
      <c r="X471" s="100"/>
      <c r="Y471" s="100"/>
      <c r="Z471" s="100"/>
    </row>
    <row r="472" ht="15.75" customHeight="1" spans="1:26">
      <c r="A472" s="100"/>
      <c r="B472" s="101"/>
      <c r="C472" s="100"/>
      <c r="D472" s="100"/>
      <c r="E472" s="100"/>
      <c r="F472" s="100"/>
      <c r="G472" s="100"/>
      <c r="H472" s="100"/>
      <c r="I472" s="100"/>
      <c r="J472" s="100"/>
      <c r="K472" s="100"/>
      <c r="L472" s="100"/>
      <c r="M472" s="100"/>
      <c r="N472" s="100"/>
      <c r="O472" s="100"/>
      <c r="P472" s="100"/>
      <c r="Q472" s="100"/>
      <c r="R472" s="100"/>
      <c r="S472" s="100"/>
      <c r="T472" s="100"/>
      <c r="U472" s="100"/>
      <c r="V472" s="100"/>
      <c r="W472" s="100"/>
      <c r="X472" s="100"/>
      <c r="Y472" s="100"/>
      <c r="Z472" s="100"/>
    </row>
    <row r="473" ht="15.75" customHeight="1" spans="1:26">
      <c r="A473" s="100"/>
      <c r="B473" s="101"/>
      <c r="C473" s="100"/>
      <c r="D473" s="100"/>
      <c r="E473" s="100"/>
      <c r="F473" s="100"/>
      <c r="G473" s="100"/>
      <c r="H473" s="100"/>
      <c r="I473" s="100"/>
      <c r="J473" s="100"/>
      <c r="K473" s="100"/>
      <c r="L473" s="100"/>
      <c r="M473" s="100"/>
      <c r="N473" s="100"/>
      <c r="O473" s="100"/>
      <c r="P473" s="100"/>
      <c r="Q473" s="100"/>
      <c r="R473" s="100"/>
      <c r="S473" s="100"/>
      <c r="T473" s="100"/>
      <c r="U473" s="100"/>
      <c r="V473" s="100"/>
      <c r="W473" s="100"/>
      <c r="X473" s="100"/>
      <c r="Y473" s="100"/>
      <c r="Z473" s="100"/>
    </row>
    <row r="474" ht="15.75" customHeight="1" spans="1:26">
      <c r="A474" s="100"/>
      <c r="B474" s="101"/>
      <c r="C474" s="100"/>
      <c r="D474" s="100"/>
      <c r="E474" s="100"/>
      <c r="F474" s="100"/>
      <c r="G474" s="100"/>
      <c r="H474" s="100"/>
      <c r="I474" s="100"/>
      <c r="J474" s="100"/>
      <c r="K474" s="100"/>
      <c r="L474" s="100"/>
      <c r="M474" s="100"/>
      <c r="N474" s="100"/>
      <c r="O474" s="100"/>
      <c r="P474" s="100"/>
      <c r="Q474" s="100"/>
      <c r="R474" s="100"/>
      <c r="S474" s="100"/>
      <c r="T474" s="100"/>
      <c r="U474" s="100"/>
      <c r="V474" s="100"/>
      <c r="W474" s="100"/>
      <c r="X474" s="100"/>
      <c r="Y474" s="100"/>
      <c r="Z474" s="100"/>
    </row>
    <row r="475" ht="15.75" customHeight="1" spans="1:26">
      <c r="A475" s="100"/>
      <c r="B475" s="101"/>
      <c r="C475" s="100"/>
      <c r="D475" s="100"/>
      <c r="E475" s="100"/>
      <c r="F475" s="100"/>
      <c r="G475" s="100"/>
      <c r="H475" s="100"/>
      <c r="I475" s="100"/>
      <c r="J475" s="100"/>
      <c r="K475" s="100"/>
      <c r="L475" s="100"/>
      <c r="M475" s="100"/>
      <c r="N475" s="100"/>
      <c r="O475" s="100"/>
      <c r="P475" s="100"/>
      <c r="Q475" s="100"/>
      <c r="R475" s="100"/>
      <c r="S475" s="100"/>
      <c r="T475" s="100"/>
      <c r="U475" s="100"/>
      <c r="V475" s="100"/>
      <c r="W475" s="100"/>
      <c r="X475" s="100"/>
      <c r="Y475" s="100"/>
      <c r="Z475" s="100"/>
    </row>
    <row r="476" ht="15.75" customHeight="1" spans="1:26">
      <c r="A476" s="100"/>
      <c r="B476" s="101"/>
      <c r="C476" s="100"/>
      <c r="D476" s="100"/>
      <c r="E476" s="100"/>
      <c r="F476" s="100"/>
      <c r="G476" s="100"/>
      <c r="H476" s="100"/>
      <c r="I476" s="100"/>
      <c r="J476" s="100"/>
      <c r="K476" s="100"/>
      <c r="L476" s="100"/>
      <c r="M476" s="100"/>
      <c r="N476" s="100"/>
      <c r="O476" s="100"/>
      <c r="P476" s="100"/>
      <c r="Q476" s="100"/>
      <c r="R476" s="100"/>
      <c r="S476" s="100"/>
      <c r="T476" s="100"/>
      <c r="U476" s="100"/>
      <c r="V476" s="100"/>
      <c r="W476" s="100"/>
      <c r="X476" s="100"/>
      <c r="Y476" s="100"/>
      <c r="Z476" s="100"/>
    </row>
    <row r="477" ht="15.75" customHeight="1" spans="1:26">
      <c r="A477" s="100"/>
      <c r="B477" s="101"/>
      <c r="C477" s="100"/>
      <c r="D477" s="100"/>
      <c r="E477" s="100"/>
      <c r="F477" s="100"/>
      <c r="G477" s="100"/>
      <c r="H477" s="100"/>
      <c r="I477" s="100"/>
      <c r="J477" s="100"/>
      <c r="K477" s="100"/>
      <c r="L477" s="100"/>
      <c r="M477" s="100"/>
      <c r="N477" s="100"/>
      <c r="O477" s="100"/>
      <c r="P477" s="100"/>
      <c r="Q477" s="100"/>
      <c r="R477" s="100"/>
      <c r="S477" s="100"/>
      <c r="T477" s="100"/>
      <c r="U477" s="100"/>
      <c r="V477" s="100"/>
      <c r="W477" s="100"/>
      <c r="X477" s="100"/>
      <c r="Y477" s="100"/>
      <c r="Z477" s="100"/>
    </row>
    <row r="478" ht="15.75" customHeight="1" spans="1:26">
      <c r="A478" s="100"/>
      <c r="B478" s="101"/>
      <c r="C478" s="100"/>
      <c r="D478" s="100"/>
      <c r="E478" s="100"/>
      <c r="F478" s="100"/>
      <c r="G478" s="100"/>
      <c r="H478" s="100"/>
      <c r="I478" s="100"/>
      <c r="J478" s="100"/>
      <c r="K478" s="100"/>
      <c r="L478" s="100"/>
      <c r="M478" s="100"/>
      <c r="N478" s="100"/>
      <c r="O478" s="100"/>
      <c r="P478" s="100"/>
      <c r="Q478" s="100"/>
      <c r="R478" s="100"/>
      <c r="S478" s="100"/>
      <c r="T478" s="100"/>
      <c r="U478" s="100"/>
      <c r="V478" s="100"/>
      <c r="W478" s="100"/>
      <c r="X478" s="100"/>
      <c r="Y478" s="100"/>
      <c r="Z478" s="100"/>
    </row>
    <row r="479" ht="15.75" customHeight="1" spans="1:26">
      <c r="A479" s="100"/>
      <c r="B479" s="101"/>
      <c r="C479" s="100"/>
      <c r="D479" s="100"/>
      <c r="E479" s="100"/>
      <c r="F479" s="100"/>
      <c r="G479" s="100"/>
      <c r="H479" s="100"/>
      <c r="I479" s="100"/>
      <c r="J479" s="100"/>
      <c r="K479" s="100"/>
      <c r="L479" s="100"/>
      <c r="M479" s="100"/>
      <c r="N479" s="100"/>
      <c r="O479" s="100"/>
      <c r="P479" s="100"/>
      <c r="Q479" s="100"/>
      <c r="R479" s="100"/>
      <c r="S479" s="100"/>
      <c r="T479" s="100"/>
      <c r="U479" s="100"/>
      <c r="V479" s="100"/>
      <c r="W479" s="100"/>
      <c r="X479" s="100"/>
      <c r="Y479" s="100"/>
      <c r="Z479" s="100"/>
    </row>
    <row r="480" ht="15.75" customHeight="1" spans="1:26">
      <c r="A480" s="100"/>
      <c r="B480" s="101"/>
      <c r="C480" s="100"/>
      <c r="D480" s="100"/>
      <c r="E480" s="100"/>
      <c r="F480" s="100"/>
      <c r="G480" s="100"/>
      <c r="H480" s="100"/>
      <c r="I480" s="100"/>
      <c r="J480" s="100"/>
      <c r="K480" s="100"/>
      <c r="L480" s="100"/>
      <c r="M480" s="100"/>
      <c r="N480" s="100"/>
      <c r="O480" s="100"/>
      <c r="P480" s="100"/>
      <c r="Q480" s="100"/>
      <c r="R480" s="100"/>
      <c r="S480" s="100"/>
      <c r="T480" s="100"/>
      <c r="U480" s="100"/>
      <c r="V480" s="100"/>
      <c r="W480" s="100"/>
      <c r="X480" s="100"/>
      <c r="Y480" s="100"/>
      <c r="Z480" s="100"/>
    </row>
    <row r="481" ht="15.75" customHeight="1" spans="1:26">
      <c r="A481" s="100"/>
      <c r="B481" s="101"/>
      <c r="C481" s="100"/>
      <c r="D481" s="100"/>
      <c r="E481" s="100"/>
      <c r="F481" s="100"/>
      <c r="G481" s="100"/>
      <c r="H481" s="100"/>
      <c r="I481" s="100"/>
      <c r="J481" s="100"/>
      <c r="K481" s="100"/>
      <c r="L481" s="100"/>
      <c r="M481" s="100"/>
      <c r="N481" s="100"/>
      <c r="O481" s="100"/>
      <c r="P481" s="100"/>
      <c r="Q481" s="100"/>
      <c r="R481" s="100"/>
      <c r="S481" s="100"/>
      <c r="T481" s="100"/>
      <c r="U481" s="100"/>
      <c r="V481" s="100"/>
      <c r="W481" s="100"/>
      <c r="X481" s="100"/>
      <c r="Y481" s="100"/>
      <c r="Z481" s="100"/>
    </row>
    <row r="482" ht="15.75" customHeight="1" spans="1:26">
      <c r="A482" s="100"/>
      <c r="B482" s="101"/>
      <c r="C482" s="100"/>
      <c r="D482" s="100"/>
      <c r="E482" s="100"/>
      <c r="F482" s="100"/>
      <c r="G482" s="100"/>
      <c r="H482" s="100"/>
      <c r="I482" s="100"/>
      <c r="J482" s="100"/>
      <c r="K482" s="100"/>
      <c r="L482" s="100"/>
      <c r="M482" s="100"/>
      <c r="N482" s="100"/>
      <c r="O482" s="100"/>
      <c r="P482" s="100"/>
      <c r="Q482" s="100"/>
      <c r="R482" s="100"/>
      <c r="S482" s="100"/>
      <c r="T482" s="100"/>
      <c r="U482" s="100"/>
      <c r="V482" s="100"/>
      <c r="W482" s="100"/>
      <c r="X482" s="100"/>
      <c r="Y482" s="100"/>
      <c r="Z482" s="100"/>
    </row>
    <row r="483" ht="15.75" customHeight="1" spans="1:26">
      <c r="A483" s="100"/>
      <c r="B483" s="101"/>
      <c r="C483" s="100"/>
      <c r="D483" s="100"/>
      <c r="E483" s="100"/>
      <c r="F483" s="100"/>
      <c r="G483" s="100"/>
      <c r="H483" s="100"/>
      <c r="I483" s="100"/>
      <c r="J483" s="100"/>
      <c r="K483" s="100"/>
      <c r="L483" s="100"/>
      <c r="M483" s="100"/>
      <c r="N483" s="100"/>
      <c r="O483" s="100"/>
      <c r="P483" s="100"/>
      <c r="Q483" s="100"/>
      <c r="R483" s="100"/>
      <c r="S483" s="100"/>
      <c r="T483" s="100"/>
      <c r="U483" s="100"/>
      <c r="V483" s="100"/>
      <c r="W483" s="100"/>
      <c r="X483" s="100"/>
      <c r="Y483" s="100"/>
      <c r="Z483" s="100"/>
    </row>
    <row r="484" ht="15.75" customHeight="1" spans="1:26">
      <c r="A484" s="100"/>
      <c r="B484" s="101"/>
      <c r="C484" s="100"/>
      <c r="D484" s="100"/>
      <c r="E484" s="100"/>
      <c r="F484" s="100"/>
      <c r="G484" s="100"/>
      <c r="H484" s="100"/>
      <c r="I484" s="100"/>
      <c r="J484" s="100"/>
      <c r="K484" s="100"/>
      <c r="L484" s="100"/>
      <c r="M484" s="100"/>
      <c r="N484" s="100"/>
      <c r="O484" s="100"/>
      <c r="P484" s="100"/>
      <c r="Q484" s="100"/>
      <c r="R484" s="100"/>
      <c r="S484" s="100"/>
      <c r="T484" s="100"/>
      <c r="U484" s="100"/>
      <c r="V484" s="100"/>
      <c r="W484" s="100"/>
      <c r="X484" s="100"/>
      <c r="Y484" s="100"/>
      <c r="Z484" s="100"/>
    </row>
    <row r="485" ht="15.75" customHeight="1" spans="1:26">
      <c r="A485" s="100"/>
      <c r="B485" s="101"/>
      <c r="C485" s="100"/>
      <c r="D485" s="100"/>
      <c r="E485" s="100"/>
      <c r="F485" s="100"/>
      <c r="G485" s="100"/>
      <c r="H485" s="100"/>
      <c r="I485" s="100"/>
      <c r="J485" s="100"/>
      <c r="K485" s="100"/>
      <c r="L485" s="100"/>
      <c r="M485" s="100"/>
      <c r="N485" s="100"/>
      <c r="O485" s="100"/>
      <c r="P485" s="100"/>
      <c r="Q485" s="100"/>
      <c r="R485" s="100"/>
      <c r="S485" s="100"/>
      <c r="T485" s="100"/>
      <c r="U485" s="100"/>
      <c r="V485" s="100"/>
      <c r="W485" s="100"/>
      <c r="X485" s="100"/>
      <c r="Y485" s="100"/>
      <c r="Z485" s="100"/>
    </row>
    <row r="486" ht="15.75" customHeight="1" spans="1:26">
      <c r="A486" s="100"/>
      <c r="B486" s="101"/>
      <c r="C486" s="100"/>
      <c r="D486" s="100"/>
      <c r="E486" s="100"/>
      <c r="F486" s="100"/>
      <c r="G486" s="100"/>
      <c r="H486" s="100"/>
      <c r="I486" s="100"/>
      <c r="J486" s="100"/>
      <c r="K486" s="100"/>
      <c r="L486" s="100"/>
      <c r="M486" s="100"/>
      <c r="N486" s="100"/>
      <c r="O486" s="100"/>
      <c r="P486" s="100"/>
      <c r="Q486" s="100"/>
      <c r="R486" s="100"/>
      <c r="S486" s="100"/>
      <c r="T486" s="100"/>
      <c r="U486" s="100"/>
      <c r="V486" s="100"/>
      <c r="W486" s="100"/>
      <c r="X486" s="100"/>
      <c r="Y486" s="100"/>
      <c r="Z486" s="100"/>
    </row>
    <row r="487" ht="15.75" customHeight="1" spans="1:26">
      <c r="A487" s="100"/>
      <c r="B487" s="101"/>
      <c r="C487" s="100"/>
      <c r="D487" s="100"/>
      <c r="E487" s="100"/>
      <c r="F487" s="100"/>
      <c r="G487" s="100"/>
      <c r="H487" s="100"/>
      <c r="I487" s="100"/>
      <c r="J487" s="100"/>
      <c r="K487" s="100"/>
      <c r="L487" s="100"/>
      <c r="M487" s="100"/>
      <c r="N487" s="100"/>
      <c r="O487" s="100"/>
      <c r="P487" s="100"/>
      <c r="Q487" s="100"/>
      <c r="R487" s="100"/>
      <c r="S487" s="100"/>
      <c r="T487" s="100"/>
      <c r="U487" s="100"/>
      <c r="V487" s="100"/>
      <c r="W487" s="100"/>
      <c r="X487" s="100"/>
      <c r="Y487" s="100"/>
      <c r="Z487" s="100"/>
    </row>
    <row r="488" ht="15.75" customHeight="1" spans="1:26">
      <c r="A488" s="100"/>
      <c r="B488" s="101"/>
      <c r="C488" s="100"/>
      <c r="D488" s="100"/>
      <c r="E488" s="100"/>
      <c r="F488" s="100"/>
      <c r="G488" s="100"/>
      <c r="H488" s="100"/>
      <c r="I488" s="100"/>
      <c r="J488" s="100"/>
      <c r="K488" s="100"/>
      <c r="L488" s="100"/>
      <c r="M488" s="100"/>
      <c r="N488" s="100"/>
      <c r="O488" s="100"/>
      <c r="P488" s="100"/>
      <c r="Q488" s="100"/>
      <c r="R488" s="100"/>
      <c r="S488" s="100"/>
      <c r="T488" s="100"/>
      <c r="U488" s="100"/>
      <c r="V488" s="100"/>
      <c r="W488" s="100"/>
      <c r="X488" s="100"/>
      <c r="Y488" s="100"/>
      <c r="Z488" s="100"/>
    </row>
    <row r="489" ht="15.75" customHeight="1" spans="1:26">
      <c r="A489" s="100"/>
      <c r="B489" s="101"/>
      <c r="C489" s="100"/>
      <c r="D489" s="100"/>
      <c r="E489" s="100"/>
      <c r="F489" s="100"/>
      <c r="G489" s="100"/>
      <c r="H489" s="100"/>
      <c r="I489" s="100"/>
      <c r="J489" s="100"/>
      <c r="K489" s="100"/>
      <c r="L489" s="100"/>
      <c r="M489" s="100"/>
      <c r="N489" s="100"/>
      <c r="O489" s="100"/>
      <c r="P489" s="100"/>
      <c r="Q489" s="100"/>
      <c r="R489" s="100"/>
      <c r="S489" s="100"/>
      <c r="T489" s="100"/>
      <c r="U489" s="100"/>
      <c r="V489" s="100"/>
      <c r="W489" s="100"/>
      <c r="X489" s="100"/>
      <c r="Y489" s="100"/>
      <c r="Z489" s="100"/>
    </row>
    <row r="490" ht="15.75" customHeight="1" spans="1:26">
      <c r="A490" s="100"/>
      <c r="B490" s="101"/>
      <c r="C490" s="100"/>
      <c r="D490" s="100"/>
      <c r="E490" s="100"/>
      <c r="F490" s="100"/>
      <c r="G490" s="100"/>
      <c r="H490" s="100"/>
      <c r="I490" s="100"/>
      <c r="J490" s="100"/>
      <c r="K490" s="100"/>
      <c r="L490" s="100"/>
      <c r="M490" s="100"/>
      <c r="N490" s="100"/>
      <c r="O490" s="100"/>
      <c r="P490" s="100"/>
      <c r="Q490" s="100"/>
      <c r="R490" s="100"/>
      <c r="S490" s="100"/>
      <c r="T490" s="100"/>
      <c r="U490" s="100"/>
      <c r="V490" s="100"/>
      <c r="W490" s="100"/>
      <c r="X490" s="100"/>
      <c r="Y490" s="100"/>
      <c r="Z490" s="100"/>
    </row>
    <row r="491" ht="15.75" customHeight="1" spans="1:26">
      <c r="A491" s="100"/>
      <c r="B491" s="101"/>
      <c r="C491" s="100"/>
      <c r="D491" s="100"/>
      <c r="E491" s="100"/>
      <c r="F491" s="100"/>
      <c r="G491" s="100"/>
      <c r="H491" s="100"/>
      <c r="I491" s="100"/>
      <c r="J491" s="100"/>
      <c r="K491" s="100"/>
      <c r="L491" s="100"/>
      <c r="M491" s="100"/>
      <c r="N491" s="100"/>
      <c r="O491" s="100"/>
      <c r="P491" s="100"/>
      <c r="Q491" s="100"/>
      <c r="R491" s="100"/>
      <c r="S491" s="100"/>
      <c r="T491" s="100"/>
      <c r="U491" s="100"/>
      <c r="V491" s="100"/>
      <c r="W491" s="100"/>
      <c r="X491" s="100"/>
      <c r="Y491" s="100"/>
      <c r="Z491" s="100"/>
    </row>
    <row r="492" ht="15.75" customHeight="1" spans="1:26">
      <c r="A492" s="100"/>
      <c r="B492" s="101"/>
      <c r="C492" s="100"/>
      <c r="D492" s="100"/>
      <c r="E492" s="100"/>
      <c r="F492" s="100"/>
      <c r="G492" s="100"/>
      <c r="H492" s="100"/>
      <c r="I492" s="100"/>
      <c r="J492" s="100"/>
      <c r="K492" s="100"/>
      <c r="L492" s="100"/>
      <c r="M492" s="100"/>
      <c r="N492" s="100"/>
      <c r="O492" s="100"/>
      <c r="P492" s="100"/>
      <c r="Q492" s="100"/>
      <c r="R492" s="100"/>
      <c r="S492" s="100"/>
      <c r="T492" s="100"/>
      <c r="U492" s="100"/>
      <c r="V492" s="100"/>
      <c r="W492" s="100"/>
      <c r="X492" s="100"/>
      <c r="Y492" s="100"/>
      <c r="Z492" s="100"/>
    </row>
    <row r="493" ht="15.75" customHeight="1" spans="1:26">
      <c r="A493" s="100"/>
      <c r="B493" s="101"/>
      <c r="C493" s="100"/>
      <c r="D493" s="100"/>
      <c r="E493" s="100"/>
      <c r="F493" s="100"/>
      <c r="G493" s="100"/>
      <c r="H493" s="100"/>
      <c r="I493" s="100"/>
      <c r="J493" s="100"/>
      <c r="K493" s="100"/>
      <c r="L493" s="100"/>
      <c r="M493" s="100"/>
      <c r="N493" s="100"/>
      <c r="O493" s="100"/>
      <c r="P493" s="100"/>
      <c r="Q493" s="100"/>
      <c r="R493" s="100"/>
      <c r="S493" s="100"/>
      <c r="T493" s="100"/>
      <c r="U493" s="100"/>
      <c r="V493" s="100"/>
      <c r="W493" s="100"/>
      <c r="X493" s="100"/>
      <c r="Y493" s="100"/>
      <c r="Z493" s="100"/>
    </row>
    <row r="494" ht="15.75" customHeight="1" spans="1:26">
      <c r="A494" s="100"/>
      <c r="B494" s="101"/>
      <c r="C494" s="100"/>
      <c r="D494" s="100"/>
      <c r="E494" s="100"/>
      <c r="F494" s="100"/>
      <c r="G494" s="100"/>
      <c r="H494" s="100"/>
      <c r="I494" s="100"/>
      <c r="J494" s="100"/>
      <c r="K494" s="100"/>
      <c r="L494" s="100"/>
      <c r="M494" s="100"/>
      <c r="N494" s="100"/>
      <c r="O494" s="100"/>
      <c r="P494" s="100"/>
      <c r="Q494" s="100"/>
      <c r="R494" s="100"/>
      <c r="S494" s="100"/>
      <c r="T494" s="100"/>
      <c r="U494" s="100"/>
      <c r="V494" s="100"/>
      <c r="W494" s="100"/>
      <c r="X494" s="100"/>
      <c r="Y494" s="100"/>
      <c r="Z494" s="100"/>
    </row>
    <row r="495" ht="15.75" customHeight="1" spans="1:26">
      <c r="A495" s="100"/>
      <c r="B495" s="101"/>
      <c r="C495" s="100"/>
      <c r="D495" s="100"/>
      <c r="E495" s="100"/>
      <c r="F495" s="100"/>
      <c r="G495" s="100"/>
      <c r="H495" s="100"/>
      <c r="I495" s="100"/>
      <c r="J495" s="100"/>
      <c r="K495" s="100"/>
      <c r="L495" s="100"/>
      <c r="M495" s="100"/>
      <c r="N495" s="100"/>
      <c r="O495" s="100"/>
      <c r="P495" s="100"/>
      <c r="Q495" s="100"/>
      <c r="R495" s="100"/>
      <c r="S495" s="100"/>
      <c r="T495" s="100"/>
      <c r="U495" s="100"/>
      <c r="V495" s="100"/>
      <c r="W495" s="100"/>
      <c r="X495" s="100"/>
      <c r="Y495" s="100"/>
      <c r="Z495" s="100"/>
    </row>
    <row r="496" ht="15.75" customHeight="1" spans="1:26">
      <c r="A496" s="100"/>
      <c r="B496" s="101"/>
      <c r="C496" s="100"/>
      <c r="D496" s="100"/>
      <c r="E496" s="100"/>
      <c r="F496" s="100"/>
      <c r="G496" s="100"/>
      <c r="H496" s="100"/>
      <c r="I496" s="100"/>
      <c r="J496" s="100"/>
      <c r="K496" s="100"/>
      <c r="L496" s="100"/>
      <c r="M496" s="100"/>
      <c r="N496" s="100"/>
      <c r="O496" s="100"/>
      <c r="P496" s="100"/>
      <c r="Q496" s="100"/>
      <c r="R496" s="100"/>
      <c r="S496" s="100"/>
      <c r="T496" s="100"/>
      <c r="U496" s="100"/>
      <c r="V496" s="100"/>
      <c r="W496" s="100"/>
      <c r="X496" s="100"/>
      <c r="Y496" s="100"/>
      <c r="Z496" s="100"/>
    </row>
    <row r="497" ht="15.75" customHeight="1" spans="1:26">
      <c r="A497" s="100"/>
      <c r="B497" s="101"/>
      <c r="C497" s="100"/>
      <c r="D497" s="100"/>
      <c r="E497" s="100"/>
      <c r="F497" s="100"/>
      <c r="G497" s="100"/>
      <c r="H497" s="100"/>
      <c r="I497" s="100"/>
      <c r="J497" s="100"/>
      <c r="K497" s="100"/>
      <c r="L497" s="100"/>
      <c r="M497" s="100"/>
      <c r="N497" s="100"/>
      <c r="O497" s="100"/>
      <c r="P497" s="100"/>
      <c r="Q497" s="100"/>
      <c r="R497" s="100"/>
      <c r="S497" s="100"/>
      <c r="T497" s="100"/>
      <c r="U497" s="100"/>
      <c r="V497" s="100"/>
      <c r="W497" s="100"/>
      <c r="X497" s="100"/>
      <c r="Y497" s="100"/>
      <c r="Z497" s="100"/>
    </row>
    <row r="498" ht="15.75" customHeight="1" spans="1:26">
      <c r="A498" s="100"/>
      <c r="B498" s="101"/>
      <c r="C498" s="100"/>
      <c r="D498" s="100"/>
      <c r="E498" s="100"/>
      <c r="F498" s="100"/>
      <c r="G498" s="100"/>
      <c r="H498" s="100"/>
      <c r="I498" s="100"/>
      <c r="J498" s="100"/>
      <c r="K498" s="100"/>
      <c r="L498" s="100"/>
      <c r="M498" s="100"/>
      <c r="N498" s="100"/>
      <c r="O498" s="100"/>
      <c r="P498" s="100"/>
      <c r="Q498" s="100"/>
      <c r="R498" s="100"/>
      <c r="S498" s="100"/>
      <c r="T498" s="100"/>
      <c r="U498" s="100"/>
      <c r="V498" s="100"/>
      <c r="W498" s="100"/>
      <c r="X498" s="100"/>
      <c r="Y498" s="100"/>
      <c r="Z498" s="100"/>
    </row>
    <row r="499" ht="15.75" customHeight="1" spans="1:26">
      <c r="A499" s="100"/>
      <c r="B499" s="101"/>
      <c r="C499" s="100"/>
      <c r="D499" s="100"/>
      <c r="E499" s="100"/>
      <c r="F499" s="100"/>
      <c r="G499" s="100"/>
      <c r="H499" s="100"/>
      <c r="I499" s="100"/>
      <c r="J499" s="100"/>
      <c r="K499" s="100"/>
      <c r="L499" s="100"/>
      <c r="M499" s="100"/>
      <c r="N499" s="100"/>
      <c r="O499" s="100"/>
      <c r="P499" s="100"/>
      <c r="Q499" s="100"/>
      <c r="R499" s="100"/>
      <c r="S499" s="100"/>
      <c r="T499" s="100"/>
      <c r="U499" s="100"/>
      <c r="V499" s="100"/>
      <c r="W499" s="100"/>
      <c r="X499" s="100"/>
      <c r="Y499" s="100"/>
      <c r="Z499" s="100"/>
    </row>
    <row r="500" ht="15.75" customHeight="1" spans="1:26">
      <c r="A500" s="100"/>
      <c r="B500" s="101"/>
      <c r="C500" s="100"/>
      <c r="D500" s="100"/>
      <c r="E500" s="100"/>
      <c r="F500" s="100"/>
      <c r="G500" s="100"/>
      <c r="H500" s="100"/>
      <c r="I500" s="100"/>
      <c r="J500" s="100"/>
      <c r="K500" s="100"/>
      <c r="L500" s="100"/>
      <c r="M500" s="100"/>
      <c r="N500" s="100"/>
      <c r="O500" s="100"/>
      <c r="P500" s="100"/>
      <c r="Q500" s="100"/>
      <c r="R500" s="100"/>
      <c r="S500" s="100"/>
      <c r="T500" s="100"/>
      <c r="U500" s="100"/>
      <c r="V500" s="100"/>
      <c r="W500" s="100"/>
      <c r="X500" s="100"/>
      <c r="Y500" s="100"/>
      <c r="Z500" s="100"/>
    </row>
    <row r="501" ht="15.75" customHeight="1" spans="1:26">
      <c r="A501" s="100"/>
      <c r="B501" s="101"/>
      <c r="C501" s="100"/>
      <c r="D501" s="100"/>
      <c r="E501" s="100"/>
      <c r="F501" s="100"/>
      <c r="G501" s="100"/>
      <c r="H501" s="100"/>
      <c r="I501" s="100"/>
      <c r="J501" s="100"/>
      <c r="K501" s="100"/>
      <c r="L501" s="100"/>
      <c r="M501" s="100"/>
      <c r="N501" s="100"/>
      <c r="O501" s="100"/>
      <c r="P501" s="100"/>
      <c r="Q501" s="100"/>
      <c r="R501" s="100"/>
      <c r="S501" s="100"/>
      <c r="T501" s="100"/>
      <c r="U501" s="100"/>
      <c r="V501" s="100"/>
      <c r="W501" s="100"/>
      <c r="X501" s="100"/>
      <c r="Y501" s="100"/>
      <c r="Z501" s="100"/>
    </row>
    <row r="502" ht="15.75" customHeight="1" spans="1:26">
      <c r="A502" s="100"/>
      <c r="B502" s="101"/>
      <c r="C502" s="100"/>
      <c r="D502" s="100"/>
      <c r="E502" s="100"/>
      <c r="F502" s="100"/>
      <c r="G502" s="100"/>
      <c r="H502" s="100"/>
      <c r="I502" s="100"/>
      <c r="J502" s="100"/>
      <c r="K502" s="100"/>
      <c r="L502" s="100"/>
      <c r="M502" s="100"/>
      <c r="N502" s="100"/>
      <c r="O502" s="100"/>
      <c r="P502" s="100"/>
      <c r="Q502" s="100"/>
      <c r="R502" s="100"/>
      <c r="S502" s="100"/>
      <c r="T502" s="100"/>
      <c r="U502" s="100"/>
      <c r="V502" s="100"/>
      <c r="W502" s="100"/>
      <c r="X502" s="100"/>
      <c r="Y502" s="100"/>
      <c r="Z502" s="100"/>
    </row>
    <row r="503" ht="15.75" customHeight="1" spans="1:26">
      <c r="A503" s="100"/>
      <c r="B503" s="101"/>
      <c r="C503" s="100"/>
      <c r="D503" s="100"/>
      <c r="E503" s="100"/>
      <c r="F503" s="100"/>
      <c r="G503" s="100"/>
      <c r="H503" s="100"/>
      <c r="I503" s="100"/>
      <c r="J503" s="100"/>
      <c r="K503" s="100"/>
      <c r="L503" s="100"/>
      <c r="M503" s="100"/>
      <c r="N503" s="100"/>
      <c r="O503" s="100"/>
      <c r="P503" s="100"/>
      <c r="Q503" s="100"/>
      <c r="R503" s="100"/>
      <c r="S503" s="100"/>
      <c r="T503" s="100"/>
      <c r="U503" s="100"/>
      <c r="V503" s="100"/>
      <c r="W503" s="100"/>
      <c r="X503" s="100"/>
      <c r="Y503" s="100"/>
      <c r="Z503" s="100"/>
    </row>
    <row r="504" ht="15.75" customHeight="1" spans="1:26">
      <c r="A504" s="100"/>
      <c r="B504" s="101"/>
      <c r="C504" s="100"/>
      <c r="D504" s="100"/>
      <c r="E504" s="100"/>
      <c r="F504" s="100"/>
      <c r="G504" s="100"/>
      <c r="H504" s="100"/>
      <c r="I504" s="100"/>
      <c r="J504" s="100"/>
      <c r="K504" s="100"/>
      <c r="L504" s="100"/>
      <c r="M504" s="100"/>
      <c r="N504" s="100"/>
      <c r="O504" s="100"/>
      <c r="P504" s="100"/>
      <c r="Q504" s="100"/>
      <c r="R504" s="100"/>
      <c r="S504" s="100"/>
      <c r="T504" s="100"/>
      <c r="U504" s="100"/>
      <c r="V504" s="100"/>
      <c r="W504" s="100"/>
      <c r="X504" s="100"/>
      <c r="Y504" s="100"/>
      <c r="Z504" s="100"/>
    </row>
    <row r="505" ht="15.75" customHeight="1" spans="1:26">
      <c r="A505" s="100"/>
      <c r="B505" s="101"/>
      <c r="C505" s="100"/>
      <c r="D505" s="100"/>
      <c r="E505" s="100"/>
      <c r="F505" s="100"/>
      <c r="G505" s="100"/>
      <c r="H505" s="100"/>
      <c r="I505" s="100"/>
      <c r="J505" s="100"/>
      <c r="K505" s="100"/>
      <c r="L505" s="100"/>
      <c r="M505" s="100"/>
      <c r="N505" s="100"/>
      <c r="O505" s="100"/>
      <c r="P505" s="100"/>
      <c r="Q505" s="100"/>
      <c r="R505" s="100"/>
      <c r="S505" s="100"/>
      <c r="T505" s="100"/>
      <c r="U505" s="100"/>
      <c r="V505" s="100"/>
      <c r="W505" s="100"/>
      <c r="X505" s="100"/>
      <c r="Y505" s="100"/>
      <c r="Z505" s="100"/>
    </row>
    <row r="506" ht="15.75" customHeight="1" spans="1:26">
      <c r="A506" s="100"/>
      <c r="B506" s="101"/>
      <c r="C506" s="100"/>
      <c r="D506" s="100"/>
      <c r="E506" s="100"/>
      <c r="F506" s="100"/>
      <c r="G506" s="100"/>
      <c r="H506" s="100"/>
      <c r="I506" s="100"/>
      <c r="J506" s="100"/>
      <c r="K506" s="100"/>
      <c r="L506" s="100"/>
      <c r="M506" s="100"/>
      <c r="N506" s="100"/>
      <c r="O506" s="100"/>
      <c r="P506" s="100"/>
      <c r="Q506" s="100"/>
      <c r="R506" s="100"/>
      <c r="S506" s="100"/>
      <c r="T506" s="100"/>
      <c r="U506" s="100"/>
      <c r="V506" s="100"/>
      <c r="W506" s="100"/>
      <c r="X506" s="100"/>
      <c r="Y506" s="100"/>
      <c r="Z506" s="100"/>
    </row>
    <row r="507" ht="15.75" customHeight="1" spans="1:26">
      <c r="A507" s="100"/>
      <c r="B507" s="101"/>
      <c r="C507" s="100"/>
      <c r="D507" s="100"/>
      <c r="E507" s="100"/>
      <c r="F507" s="100"/>
      <c r="G507" s="100"/>
      <c r="H507" s="100"/>
      <c r="I507" s="100"/>
      <c r="J507" s="100"/>
      <c r="K507" s="100"/>
      <c r="L507" s="100"/>
      <c r="M507" s="100"/>
      <c r="N507" s="100"/>
      <c r="O507" s="100"/>
      <c r="P507" s="100"/>
      <c r="Q507" s="100"/>
      <c r="R507" s="100"/>
      <c r="S507" s="100"/>
      <c r="T507" s="100"/>
      <c r="U507" s="100"/>
      <c r="V507" s="100"/>
      <c r="W507" s="100"/>
      <c r="X507" s="100"/>
      <c r="Y507" s="100"/>
      <c r="Z507" s="100"/>
    </row>
    <row r="508" ht="15.75" customHeight="1" spans="1:26">
      <c r="A508" s="100"/>
      <c r="B508" s="101"/>
      <c r="C508" s="100"/>
      <c r="D508" s="100"/>
      <c r="E508" s="100"/>
      <c r="F508" s="100"/>
      <c r="G508" s="100"/>
      <c r="H508" s="100"/>
      <c r="I508" s="100"/>
      <c r="J508" s="100"/>
      <c r="K508" s="100"/>
      <c r="L508" s="100"/>
      <c r="M508" s="100"/>
      <c r="N508" s="100"/>
      <c r="O508" s="100"/>
      <c r="P508" s="100"/>
      <c r="Q508" s="100"/>
      <c r="R508" s="100"/>
      <c r="S508" s="100"/>
      <c r="T508" s="100"/>
      <c r="U508" s="100"/>
      <c r="V508" s="100"/>
      <c r="W508" s="100"/>
      <c r="X508" s="100"/>
      <c r="Y508" s="100"/>
      <c r="Z508" s="100"/>
    </row>
    <row r="509" ht="15.75" customHeight="1" spans="1:26">
      <c r="A509" s="100"/>
      <c r="B509" s="101"/>
      <c r="C509" s="100"/>
      <c r="D509" s="100"/>
      <c r="E509" s="100"/>
      <c r="F509" s="100"/>
      <c r="G509" s="100"/>
      <c r="H509" s="100"/>
      <c r="I509" s="100"/>
      <c r="J509" s="100"/>
      <c r="K509" s="100"/>
      <c r="L509" s="100"/>
      <c r="M509" s="100"/>
      <c r="N509" s="100"/>
      <c r="O509" s="100"/>
      <c r="P509" s="100"/>
      <c r="Q509" s="100"/>
      <c r="R509" s="100"/>
      <c r="S509" s="100"/>
      <c r="T509" s="100"/>
      <c r="U509" s="100"/>
      <c r="V509" s="100"/>
      <c r="W509" s="100"/>
      <c r="X509" s="100"/>
      <c r="Y509" s="100"/>
      <c r="Z509" s="100"/>
    </row>
    <row r="510" ht="15.75" customHeight="1" spans="1:26">
      <c r="A510" s="100"/>
      <c r="B510" s="101"/>
      <c r="C510" s="100"/>
      <c r="D510" s="100"/>
      <c r="E510" s="100"/>
      <c r="F510" s="100"/>
      <c r="G510" s="100"/>
      <c r="H510" s="100"/>
      <c r="I510" s="100"/>
      <c r="J510" s="100"/>
      <c r="K510" s="100"/>
      <c r="L510" s="100"/>
      <c r="M510" s="100"/>
      <c r="N510" s="100"/>
      <c r="O510" s="100"/>
      <c r="P510" s="100"/>
      <c r="Q510" s="100"/>
      <c r="R510" s="100"/>
      <c r="S510" s="100"/>
      <c r="T510" s="100"/>
      <c r="U510" s="100"/>
      <c r="V510" s="100"/>
      <c r="W510" s="100"/>
      <c r="X510" s="100"/>
      <c r="Y510" s="100"/>
      <c r="Z510" s="100"/>
    </row>
    <row r="511" ht="15.75" customHeight="1" spans="1:26">
      <c r="A511" s="100"/>
      <c r="B511" s="101"/>
      <c r="C511" s="100"/>
      <c r="D511" s="100"/>
      <c r="E511" s="100"/>
      <c r="F511" s="100"/>
      <c r="G511" s="100"/>
      <c r="H511" s="100"/>
      <c r="I511" s="100"/>
      <c r="J511" s="100"/>
      <c r="K511" s="100"/>
      <c r="L511" s="100"/>
      <c r="M511" s="100"/>
      <c r="N511" s="100"/>
      <c r="O511" s="100"/>
      <c r="P511" s="100"/>
      <c r="Q511" s="100"/>
      <c r="R511" s="100"/>
      <c r="S511" s="100"/>
      <c r="T511" s="100"/>
      <c r="U511" s="100"/>
      <c r="V511" s="100"/>
      <c r="W511" s="100"/>
      <c r="X511" s="100"/>
      <c r="Y511" s="100"/>
      <c r="Z511" s="100"/>
    </row>
    <row r="512" ht="15.75" customHeight="1" spans="1:26">
      <c r="A512" s="100"/>
      <c r="B512" s="101"/>
      <c r="C512" s="100"/>
      <c r="D512" s="100"/>
      <c r="E512" s="100"/>
      <c r="F512" s="100"/>
      <c r="G512" s="100"/>
      <c r="H512" s="100"/>
      <c r="I512" s="100"/>
      <c r="J512" s="100"/>
      <c r="K512" s="100"/>
      <c r="L512" s="100"/>
      <c r="M512" s="100"/>
      <c r="N512" s="100"/>
      <c r="O512" s="100"/>
      <c r="P512" s="100"/>
      <c r="Q512" s="100"/>
      <c r="R512" s="100"/>
      <c r="S512" s="100"/>
      <c r="T512" s="100"/>
      <c r="U512" s="100"/>
      <c r="V512" s="100"/>
      <c r="W512" s="100"/>
      <c r="X512" s="100"/>
      <c r="Y512" s="100"/>
      <c r="Z512" s="100"/>
    </row>
    <row r="513" ht="15.75" customHeight="1" spans="1:26">
      <c r="A513" s="100"/>
      <c r="B513" s="101"/>
      <c r="C513" s="100"/>
      <c r="D513" s="100"/>
      <c r="E513" s="100"/>
      <c r="F513" s="100"/>
      <c r="G513" s="100"/>
      <c r="H513" s="100"/>
      <c r="I513" s="100"/>
      <c r="J513" s="100"/>
      <c r="K513" s="100"/>
      <c r="L513" s="100"/>
      <c r="M513" s="100"/>
      <c r="N513" s="100"/>
      <c r="O513" s="100"/>
      <c r="P513" s="100"/>
      <c r="Q513" s="100"/>
      <c r="R513" s="100"/>
      <c r="S513" s="100"/>
      <c r="T513" s="100"/>
      <c r="U513" s="100"/>
      <c r="V513" s="100"/>
      <c r="W513" s="100"/>
      <c r="X513" s="100"/>
      <c r="Y513" s="100"/>
      <c r="Z513" s="100"/>
    </row>
    <row r="514" ht="15.75" customHeight="1" spans="1:26">
      <c r="A514" s="100"/>
      <c r="B514" s="101"/>
      <c r="C514" s="100"/>
      <c r="D514" s="100"/>
      <c r="E514" s="100"/>
      <c r="F514" s="100"/>
      <c r="G514" s="100"/>
      <c r="H514" s="100"/>
      <c r="I514" s="100"/>
      <c r="J514" s="100"/>
      <c r="K514" s="100"/>
      <c r="L514" s="100"/>
      <c r="M514" s="100"/>
      <c r="N514" s="100"/>
      <c r="O514" s="100"/>
      <c r="P514" s="100"/>
      <c r="Q514" s="100"/>
      <c r="R514" s="100"/>
      <c r="S514" s="100"/>
      <c r="T514" s="100"/>
      <c r="U514" s="100"/>
      <c r="V514" s="100"/>
      <c r="W514" s="100"/>
      <c r="X514" s="100"/>
      <c r="Y514" s="100"/>
      <c r="Z514" s="100"/>
    </row>
    <row r="515" ht="15.75" customHeight="1" spans="1:26">
      <c r="A515" s="100"/>
      <c r="B515" s="101"/>
      <c r="C515" s="100"/>
      <c r="D515" s="100"/>
      <c r="E515" s="100"/>
      <c r="F515" s="100"/>
      <c r="G515" s="100"/>
      <c r="H515" s="100"/>
      <c r="I515" s="100"/>
      <c r="J515" s="100"/>
      <c r="K515" s="100"/>
      <c r="L515" s="100"/>
      <c r="M515" s="100"/>
      <c r="N515" s="100"/>
      <c r="O515" s="100"/>
      <c r="P515" s="100"/>
      <c r="Q515" s="100"/>
      <c r="R515" s="100"/>
      <c r="S515" s="100"/>
      <c r="T515" s="100"/>
      <c r="U515" s="100"/>
      <c r="V515" s="100"/>
      <c r="W515" s="100"/>
      <c r="X515" s="100"/>
      <c r="Y515" s="100"/>
      <c r="Z515" s="100"/>
    </row>
    <row r="516" ht="15.75" customHeight="1" spans="1:26">
      <c r="A516" s="100"/>
      <c r="B516" s="101"/>
      <c r="C516" s="100"/>
      <c r="D516" s="100"/>
      <c r="E516" s="100"/>
      <c r="F516" s="100"/>
      <c r="G516" s="100"/>
      <c r="H516" s="100"/>
      <c r="I516" s="100"/>
      <c r="J516" s="100"/>
      <c r="K516" s="100"/>
      <c r="L516" s="100"/>
      <c r="M516" s="100"/>
      <c r="N516" s="100"/>
      <c r="O516" s="100"/>
      <c r="P516" s="100"/>
      <c r="Q516" s="100"/>
      <c r="R516" s="100"/>
      <c r="S516" s="100"/>
      <c r="T516" s="100"/>
      <c r="U516" s="100"/>
      <c r="V516" s="100"/>
      <c r="W516" s="100"/>
      <c r="X516" s="100"/>
      <c r="Y516" s="100"/>
      <c r="Z516" s="100"/>
    </row>
    <row r="517" ht="15.75" customHeight="1" spans="1:26">
      <c r="A517" s="100"/>
      <c r="B517" s="101"/>
      <c r="C517" s="100"/>
      <c r="D517" s="100"/>
      <c r="E517" s="100"/>
      <c r="F517" s="100"/>
      <c r="G517" s="100"/>
      <c r="H517" s="100"/>
      <c r="I517" s="100"/>
      <c r="J517" s="100"/>
      <c r="K517" s="100"/>
      <c r="L517" s="100"/>
      <c r="M517" s="100"/>
      <c r="N517" s="100"/>
      <c r="O517" s="100"/>
      <c r="P517" s="100"/>
      <c r="Q517" s="100"/>
      <c r="R517" s="100"/>
      <c r="S517" s="100"/>
      <c r="T517" s="100"/>
      <c r="U517" s="100"/>
      <c r="V517" s="100"/>
      <c r="W517" s="100"/>
      <c r="X517" s="100"/>
      <c r="Y517" s="100"/>
      <c r="Z517" s="100"/>
    </row>
    <row r="518" ht="15.75" customHeight="1" spans="1:26">
      <c r="A518" s="100"/>
      <c r="B518" s="101"/>
      <c r="C518" s="100"/>
      <c r="D518" s="100"/>
      <c r="E518" s="100"/>
      <c r="F518" s="100"/>
      <c r="G518" s="100"/>
      <c r="H518" s="100"/>
      <c r="I518" s="100"/>
      <c r="J518" s="100"/>
      <c r="K518" s="100"/>
      <c r="L518" s="100"/>
      <c r="M518" s="100"/>
      <c r="N518" s="100"/>
      <c r="O518" s="100"/>
      <c r="P518" s="100"/>
      <c r="Q518" s="100"/>
      <c r="R518" s="100"/>
      <c r="S518" s="100"/>
      <c r="T518" s="100"/>
      <c r="U518" s="100"/>
      <c r="V518" s="100"/>
      <c r="W518" s="100"/>
      <c r="X518" s="100"/>
      <c r="Y518" s="100"/>
      <c r="Z518" s="100"/>
    </row>
    <row r="519" ht="15.75" customHeight="1" spans="1:26">
      <c r="A519" s="100"/>
      <c r="B519" s="101"/>
      <c r="C519" s="100"/>
      <c r="D519" s="100"/>
      <c r="E519" s="100"/>
      <c r="F519" s="100"/>
      <c r="G519" s="100"/>
      <c r="H519" s="100"/>
      <c r="I519" s="100"/>
      <c r="J519" s="100"/>
      <c r="K519" s="100"/>
      <c r="L519" s="100"/>
      <c r="M519" s="100"/>
      <c r="N519" s="100"/>
      <c r="O519" s="100"/>
      <c r="P519" s="100"/>
      <c r="Q519" s="100"/>
      <c r="R519" s="100"/>
      <c r="S519" s="100"/>
      <c r="T519" s="100"/>
      <c r="U519" s="100"/>
      <c r="V519" s="100"/>
      <c r="W519" s="100"/>
      <c r="X519" s="100"/>
      <c r="Y519" s="100"/>
      <c r="Z519" s="100"/>
    </row>
    <row r="520" ht="15.75" customHeight="1" spans="1:26">
      <c r="A520" s="100"/>
      <c r="B520" s="101"/>
      <c r="C520" s="100"/>
      <c r="D520" s="100"/>
      <c r="E520" s="100"/>
      <c r="F520" s="100"/>
      <c r="G520" s="100"/>
      <c r="H520" s="100"/>
      <c r="I520" s="100"/>
      <c r="J520" s="100"/>
      <c r="K520" s="100"/>
      <c r="L520" s="100"/>
      <c r="M520" s="100"/>
      <c r="N520" s="100"/>
      <c r="O520" s="100"/>
      <c r="P520" s="100"/>
      <c r="Q520" s="100"/>
      <c r="R520" s="100"/>
      <c r="S520" s="100"/>
      <c r="T520" s="100"/>
      <c r="U520" s="100"/>
      <c r="V520" s="100"/>
      <c r="W520" s="100"/>
      <c r="X520" s="100"/>
      <c r="Y520" s="100"/>
      <c r="Z520" s="100"/>
    </row>
    <row r="521" ht="15.75" customHeight="1" spans="1:26">
      <c r="A521" s="100"/>
      <c r="B521" s="101"/>
      <c r="C521" s="100"/>
      <c r="D521" s="100"/>
      <c r="E521" s="100"/>
      <c r="F521" s="100"/>
      <c r="G521" s="100"/>
      <c r="H521" s="100"/>
      <c r="I521" s="100"/>
      <c r="J521" s="100"/>
      <c r="K521" s="100"/>
      <c r="L521" s="100"/>
      <c r="M521" s="100"/>
      <c r="N521" s="100"/>
      <c r="O521" s="100"/>
      <c r="P521" s="100"/>
      <c r="Q521" s="100"/>
      <c r="R521" s="100"/>
      <c r="S521" s="100"/>
      <c r="T521" s="100"/>
      <c r="U521" s="100"/>
      <c r="V521" s="100"/>
      <c r="W521" s="100"/>
      <c r="X521" s="100"/>
      <c r="Y521" s="100"/>
      <c r="Z521" s="100"/>
    </row>
    <row r="522" ht="15.75" customHeight="1" spans="1:26">
      <c r="A522" s="100"/>
      <c r="B522" s="101"/>
      <c r="C522" s="100"/>
      <c r="D522" s="100"/>
      <c r="E522" s="100"/>
      <c r="F522" s="100"/>
      <c r="G522" s="100"/>
      <c r="H522" s="100"/>
      <c r="I522" s="100"/>
      <c r="J522" s="100"/>
      <c r="K522" s="100"/>
      <c r="L522" s="100"/>
      <c r="M522" s="100"/>
      <c r="N522" s="100"/>
      <c r="O522" s="100"/>
      <c r="P522" s="100"/>
      <c r="Q522" s="100"/>
      <c r="R522" s="100"/>
      <c r="S522" s="100"/>
      <c r="T522" s="100"/>
      <c r="U522" s="100"/>
      <c r="V522" s="100"/>
      <c r="W522" s="100"/>
      <c r="X522" s="100"/>
      <c r="Y522" s="100"/>
      <c r="Z522" s="100"/>
    </row>
    <row r="523" ht="15.75" customHeight="1" spans="1:26">
      <c r="A523" s="100"/>
      <c r="B523" s="101"/>
      <c r="C523" s="100"/>
      <c r="D523" s="100"/>
      <c r="E523" s="100"/>
      <c r="F523" s="100"/>
      <c r="G523" s="100"/>
      <c r="H523" s="100"/>
      <c r="I523" s="100"/>
      <c r="J523" s="100"/>
      <c r="K523" s="100"/>
      <c r="L523" s="100"/>
      <c r="M523" s="100"/>
      <c r="N523" s="100"/>
      <c r="O523" s="100"/>
      <c r="P523" s="100"/>
      <c r="Q523" s="100"/>
      <c r="R523" s="100"/>
      <c r="S523" s="100"/>
      <c r="T523" s="100"/>
      <c r="U523" s="100"/>
      <c r="V523" s="100"/>
      <c r="W523" s="100"/>
      <c r="X523" s="100"/>
      <c r="Y523" s="100"/>
      <c r="Z523" s="100"/>
    </row>
    <row r="524" ht="15.75" customHeight="1" spans="1:26">
      <c r="A524" s="100"/>
      <c r="B524" s="101"/>
      <c r="C524" s="100"/>
      <c r="D524" s="100"/>
      <c r="E524" s="100"/>
      <c r="F524" s="100"/>
      <c r="G524" s="100"/>
      <c r="H524" s="100"/>
      <c r="I524" s="100"/>
      <c r="J524" s="100"/>
      <c r="K524" s="100"/>
      <c r="L524" s="100"/>
      <c r="M524" s="100"/>
      <c r="N524" s="100"/>
      <c r="O524" s="100"/>
      <c r="P524" s="100"/>
      <c r="Q524" s="100"/>
      <c r="R524" s="100"/>
      <c r="S524" s="100"/>
      <c r="T524" s="100"/>
      <c r="U524" s="100"/>
      <c r="V524" s="100"/>
      <c r="W524" s="100"/>
      <c r="X524" s="100"/>
      <c r="Y524" s="100"/>
      <c r="Z524" s="100"/>
    </row>
    <row r="525" ht="15.75" customHeight="1" spans="1:26">
      <c r="A525" s="100"/>
      <c r="B525" s="101"/>
      <c r="C525" s="100"/>
      <c r="D525" s="100"/>
      <c r="E525" s="100"/>
      <c r="F525" s="100"/>
      <c r="G525" s="100"/>
      <c r="H525" s="100"/>
      <c r="I525" s="100"/>
      <c r="J525" s="100"/>
      <c r="K525" s="100"/>
      <c r="L525" s="100"/>
      <c r="M525" s="100"/>
      <c r="N525" s="100"/>
      <c r="O525" s="100"/>
      <c r="P525" s="100"/>
      <c r="Q525" s="100"/>
      <c r="R525" s="100"/>
      <c r="S525" s="100"/>
      <c r="T525" s="100"/>
      <c r="U525" s="100"/>
      <c r="V525" s="100"/>
      <c r="W525" s="100"/>
      <c r="X525" s="100"/>
      <c r="Y525" s="100"/>
      <c r="Z525" s="100"/>
    </row>
    <row r="526" ht="15.75" customHeight="1" spans="1:26">
      <c r="A526" s="100"/>
      <c r="B526" s="101"/>
      <c r="C526" s="100"/>
      <c r="D526" s="100"/>
      <c r="E526" s="100"/>
      <c r="F526" s="100"/>
      <c r="G526" s="100"/>
      <c r="H526" s="100"/>
      <c r="I526" s="100"/>
      <c r="J526" s="100"/>
      <c r="K526" s="100"/>
      <c r="L526" s="100"/>
      <c r="M526" s="100"/>
      <c r="N526" s="100"/>
      <c r="O526" s="100"/>
      <c r="P526" s="100"/>
      <c r="Q526" s="100"/>
      <c r="R526" s="100"/>
      <c r="S526" s="100"/>
      <c r="T526" s="100"/>
      <c r="U526" s="100"/>
      <c r="V526" s="100"/>
      <c r="W526" s="100"/>
      <c r="X526" s="100"/>
      <c r="Y526" s="100"/>
      <c r="Z526" s="100"/>
    </row>
    <row r="527" ht="15.75" customHeight="1" spans="1:26">
      <c r="A527" s="100"/>
      <c r="B527" s="101"/>
      <c r="C527" s="100"/>
      <c r="D527" s="100"/>
      <c r="E527" s="100"/>
      <c r="F527" s="100"/>
      <c r="G527" s="100"/>
      <c r="H527" s="100"/>
      <c r="I527" s="100"/>
      <c r="J527" s="100"/>
      <c r="K527" s="100"/>
      <c r="L527" s="100"/>
      <c r="M527" s="100"/>
      <c r="N527" s="100"/>
      <c r="O527" s="100"/>
      <c r="P527" s="100"/>
      <c r="Q527" s="100"/>
      <c r="R527" s="100"/>
      <c r="S527" s="100"/>
      <c r="T527" s="100"/>
      <c r="U527" s="100"/>
      <c r="V527" s="100"/>
      <c r="W527" s="100"/>
      <c r="X527" s="100"/>
      <c r="Y527" s="100"/>
      <c r="Z527" s="100"/>
    </row>
    <row r="528" ht="15.75" customHeight="1" spans="1:26">
      <c r="A528" s="100"/>
      <c r="B528" s="101"/>
      <c r="C528" s="100"/>
      <c r="D528" s="100"/>
      <c r="E528" s="100"/>
      <c r="F528" s="100"/>
      <c r="G528" s="100"/>
      <c r="H528" s="100"/>
      <c r="I528" s="100"/>
      <c r="J528" s="100"/>
      <c r="K528" s="100"/>
      <c r="L528" s="100"/>
      <c r="M528" s="100"/>
      <c r="N528" s="100"/>
      <c r="O528" s="100"/>
      <c r="P528" s="100"/>
      <c r="Q528" s="100"/>
      <c r="R528" s="100"/>
      <c r="S528" s="100"/>
      <c r="T528" s="100"/>
      <c r="U528" s="100"/>
      <c r="V528" s="100"/>
      <c r="W528" s="100"/>
      <c r="X528" s="100"/>
      <c r="Y528" s="100"/>
      <c r="Z528" s="100"/>
    </row>
    <row r="529" ht="15.75" customHeight="1" spans="1:26">
      <c r="A529" s="100"/>
      <c r="B529" s="101"/>
      <c r="C529" s="100"/>
      <c r="D529" s="100"/>
      <c r="E529" s="100"/>
      <c r="F529" s="100"/>
      <c r="G529" s="100"/>
      <c r="H529" s="100"/>
      <c r="I529" s="100"/>
      <c r="J529" s="100"/>
      <c r="K529" s="100"/>
      <c r="L529" s="100"/>
      <c r="M529" s="100"/>
      <c r="N529" s="100"/>
      <c r="O529" s="100"/>
      <c r="P529" s="100"/>
      <c r="Q529" s="100"/>
      <c r="R529" s="100"/>
      <c r="S529" s="100"/>
      <c r="T529" s="100"/>
      <c r="U529" s="100"/>
      <c r="V529" s="100"/>
      <c r="W529" s="100"/>
      <c r="X529" s="100"/>
      <c r="Y529" s="100"/>
      <c r="Z529" s="100"/>
    </row>
    <row r="530" ht="15.75" customHeight="1" spans="1:26">
      <c r="A530" s="100"/>
      <c r="B530" s="101"/>
      <c r="C530" s="100"/>
      <c r="D530" s="100"/>
      <c r="E530" s="100"/>
      <c r="F530" s="100"/>
      <c r="G530" s="100"/>
      <c r="H530" s="100"/>
      <c r="I530" s="100"/>
      <c r="J530" s="100"/>
      <c r="K530" s="100"/>
      <c r="L530" s="100"/>
      <c r="M530" s="100"/>
      <c r="N530" s="100"/>
      <c r="O530" s="100"/>
      <c r="P530" s="100"/>
      <c r="Q530" s="100"/>
      <c r="R530" s="100"/>
      <c r="S530" s="100"/>
      <c r="T530" s="100"/>
      <c r="U530" s="100"/>
      <c r="V530" s="100"/>
      <c r="W530" s="100"/>
      <c r="X530" s="100"/>
      <c r="Y530" s="100"/>
      <c r="Z530" s="100"/>
    </row>
    <row r="531" ht="15.75" customHeight="1" spans="1:26">
      <c r="A531" s="100"/>
      <c r="B531" s="101"/>
      <c r="C531" s="100"/>
      <c r="D531" s="100"/>
      <c r="E531" s="100"/>
      <c r="F531" s="100"/>
      <c r="G531" s="100"/>
      <c r="H531" s="100"/>
      <c r="I531" s="100"/>
      <c r="J531" s="100"/>
      <c r="K531" s="100"/>
      <c r="L531" s="100"/>
      <c r="M531" s="100"/>
      <c r="N531" s="100"/>
      <c r="O531" s="100"/>
      <c r="P531" s="100"/>
      <c r="Q531" s="100"/>
      <c r="R531" s="100"/>
      <c r="S531" s="100"/>
      <c r="T531" s="100"/>
      <c r="U531" s="100"/>
      <c r="V531" s="100"/>
      <c r="W531" s="100"/>
      <c r="X531" s="100"/>
      <c r="Y531" s="100"/>
      <c r="Z531" s="100"/>
    </row>
    <row r="532" ht="15.75" customHeight="1" spans="1:26">
      <c r="A532" s="100"/>
      <c r="B532" s="101"/>
      <c r="C532" s="100"/>
      <c r="D532" s="100"/>
      <c r="E532" s="100"/>
      <c r="F532" s="100"/>
      <c r="G532" s="100"/>
      <c r="H532" s="100"/>
      <c r="I532" s="100"/>
      <c r="J532" s="100"/>
      <c r="K532" s="100"/>
      <c r="L532" s="100"/>
      <c r="M532" s="100"/>
      <c r="N532" s="100"/>
      <c r="O532" s="100"/>
      <c r="P532" s="100"/>
      <c r="Q532" s="100"/>
      <c r="R532" s="100"/>
      <c r="S532" s="100"/>
      <c r="T532" s="100"/>
      <c r="U532" s="100"/>
      <c r="V532" s="100"/>
      <c r="W532" s="100"/>
      <c r="X532" s="100"/>
      <c r="Y532" s="100"/>
      <c r="Z532" s="100"/>
    </row>
    <row r="533" ht="15.75" customHeight="1" spans="1:26">
      <c r="A533" s="100"/>
      <c r="B533" s="101"/>
      <c r="C533" s="100"/>
      <c r="D533" s="100"/>
      <c r="E533" s="100"/>
      <c r="F533" s="100"/>
      <c r="G533" s="100"/>
      <c r="H533" s="100"/>
      <c r="I533" s="100"/>
      <c r="J533" s="100"/>
      <c r="K533" s="100"/>
      <c r="L533" s="100"/>
      <c r="M533" s="100"/>
      <c r="N533" s="100"/>
      <c r="O533" s="100"/>
      <c r="P533" s="100"/>
      <c r="Q533" s="100"/>
      <c r="R533" s="100"/>
      <c r="S533" s="100"/>
      <c r="T533" s="100"/>
      <c r="U533" s="100"/>
      <c r="V533" s="100"/>
      <c r="W533" s="100"/>
      <c r="X533" s="100"/>
      <c r="Y533" s="100"/>
      <c r="Z533" s="100"/>
    </row>
    <row r="534" ht="15.75" customHeight="1" spans="1:26">
      <c r="A534" s="100"/>
      <c r="B534" s="101"/>
      <c r="C534" s="100"/>
      <c r="D534" s="100"/>
      <c r="E534" s="100"/>
      <c r="F534" s="100"/>
      <c r="G534" s="100"/>
      <c r="H534" s="100"/>
      <c r="I534" s="100"/>
      <c r="J534" s="100"/>
      <c r="K534" s="100"/>
      <c r="L534" s="100"/>
      <c r="M534" s="100"/>
      <c r="N534" s="100"/>
      <c r="O534" s="100"/>
      <c r="P534" s="100"/>
      <c r="Q534" s="100"/>
      <c r="R534" s="100"/>
      <c r="S534" s="100"/>
      <c r="T534" s="100"/>
      <c r="U534" s="100"/>
      <c r="V534" s="100"/>
      <c r="W534" s="100"/>
      <c r="X534" s="100"/>
      <c r="Y534" s="100"/>
      <c r="Z534" s="100"/>
    </row>
    <row r="535" ht="15.75" customHeight="1" spans="1:26">
      <c r="A535" s="100"/>
      <c r="B535" s="101"/>
      <c r="C535" s="100"/>
      <c r="D535" s="100"/>
      <c r="E535" s="100"/>
      <c r="F535" s="100"/>
      <c r="G535" s="100"/>
      <c r="H535" s="100"/>
      <c r="I535" s="100"/>
      <c r="J535" s="100"/>
      <c r="K535" s="100"/>
      <c r="L535" s="100"/>
      <c r="M535" s="100"/>
      <c r="N535" s="100"/>
      <c r="O535" s="100"/>
      <c r="P535" s="100"/>
      <c r="Q535" s="100"/>
      <c r="R535" s="100"/>
      <c r="S535" s="100"/>
      <c r="T535" s="100"/>
      <c r="U535" s="100"/>
      <c r="V535" s="100"/>
      <c r="W535" s="100"/>
      <c r="X535" s="100"/>
      <c r="Y535" s="100"/>
      <c r="Z535" s="100"/>
    </row>
    <row r="536" ht="15.75" customHeight="1" spans="1:26">
      <c r="A536" s="100"/>
      <c r="B536" s="101"/>
      <c r="C536" s="100"/>
      <c r="D536" s="100"/>
      <c r="E536" s="100"/>
      <c r="F536" s="100"/>
      <c r="G536" s="100"/>
      <c r="H536" s="100"/>
      <c r="I536" s="100"/>
      <c r="J536" s="100"/>
      <c r="K536" s="100"/>
      <c r="L536" s="100"/>
      <c r="M536" s="100"/>
      <c r="N536" s="100"/>
      <c r="O536" s="100"/>
      <c r="P536" s="100"/>
      <c r="Q536" s="100"/>
      <c r="R536" s="100"/>
      <c r="S536" s="100"/>
      <c r="T536" s="100"/>
      <c r="U536" s="100"/>
      <c r="V536" s="100"/>
      <c r="W536" s="100"/>
      <c r="X536" s="100"/>
      <c r="Y536" s="100"/>
      <c r="Z536" s="100"/>
    </row>
    <row r="537" ht="15.75" customHeight="1" spans="1:26">
      <c r="A537" s="100"/>
      <c r="B537" s="101"/>
      <c r="C537" s="100"/>
      <c r="D537" s="100"/>
      <c r="E537" s="100"/>
      <c r="F537" s="100"/>
      <c r="G537" s="100"/>
      <c r="H537" s="100"/>
      <c r="I537" s="100"/>
      <c r="J537" s="100"/>
      <c r="K537" s="100"/>
      <c r="L537" s="100"/>
      <c r="M537" s="100"/>
      <c r="N537" s="100"/>
      <c r="O537" s="100"/>
      <c r="P537" s="100"/>
      <c r="Q537" s="100"/>
      <c r="R537" s="100"/>
      <c r="S537" s="100"/>
      <c r="T537" s="100"/>
      <c r="U537" s="100"/>
      <c r="V537" s="100"/>
      <c r="W537" s="100"/>
      <c r="X537" s="100"/>
      <c r="Y537" s="100"/>
      <c r="Z537" s="100"/>
    </row>
    <row r="538" ht="15.75" customHeight="1" spans="1:26">
      <c r="A538" s="100"/>
      <c r="B538" s="101"/>
      <c r="C538" s="100"/>
      <c r="D538" s="100"/>
      <c r="E538" s="100"/>
      <c r="F538" s="100"/>
      <c r="G538" s="100"/>
      <c r="H538" s="100"/>
      <c r="I538" s="100"/>
      <c r="J538" s="100"/>
      <c r="K538" s="100"/>
      <c r="L538" s="100"/>
      <c r="M538" s="100"/>
      <c r="N538" s="100"/>
      <c r="O538" s="100"/>
      <c r="P538" s="100"/>
      <c r="Q538" s="100"/>
      <c r="R538" s="100"/>
      <c r="S538" s="100"/>
      <c r="T538" s="100"/>
      <c r="U538" s="100"/>
      <c r="V538" s="100"/>
      <c r="W538" s="100"/>
      <c r="X538" s="100"/>
      <c r="Y538" s="100"/>
      <c r="Z538" s="100"/>
    </row>
    <row r="539" ht="15.75" customHeight="1" spans="1:26">
      <c r="A539" s="100"/>
      <c r="B539" s="101"/>
      <c r="C539" s="100"/>
      <c r="D539" s="100"/>
      <c r="E539" s="100"/>
      <c r="F539" s="100"/>
      <c r="G539" s="100"/>
      <c r="H539" s="100"/>
      <c r="I539" s="100"/>
      <c r="J539" s="100"/>
      <c r="K539" s="100"/>
      <c r="L539" s="100"/>
      <c r="M539" s="100"/>
      <c r="N539" s="100"/>
      <c r="O539" s="100"/>
      <c r="P539" s="100"/>
      <c r="Q539" s="100"/>
      <c r="R539" s="100"/>
      <c r="S539" s="100"/>
      <c r="T539" s="100"/>
      <c r="U539" s="100"/>
      <c r="V539" s="100"/>
      <c r="W539" s="100"/>
      <c r="X539" s="100"/>
      <c r="Y539" s="100"/>
      <c r="Z539" s="100"/>
    </row>
    <row r="540" ht="15.75" customHeight="1" spans="1:26">
      <c r="A540" s="100"/>
      <c r="B540" s="101"/>
      <c r="C540" s="100"/>
      <c r="D540" s="100"/>
      <c r="E540" s="100"/>
      <c r="F540" s="100"/>
      <c r="G540" s="100"/>
      <c r="H540" s="100"/>
      <c r="I540" s="100"/>
      <c r="J540" s="100"/>
      <c r="K540" s="100"/>
      <c r="L540" s="100"/>
      <c r="M540" s="100"/>
      <c r="N540" s="100"/>
      <c r="O540" s="100"/>
      <c r="P540" s="100"/>
      <c r="Q540" s="100"/>
      <c r="R540" s="100"/>
      <c r="S540" s="100"/>
      <c r="T540" s="100"/>
      <c r="U540" s="100"/>
      <c r="V540" s="100"/>
      <c r="W540" s="100"/>
      <c r="X540" s="100"/>
      <c r="Y540" s="100"/>
      <c r="Z540" s="100"/>
    </row>
    <row r="541" ht="15.75" customHeight="1" spans="1:26">
      <c r="A541" s="100"/>
      <c r="B541" s="101"/>
      <c r="C541" s="100"/>
      <c r="D541" s="100"/>
      <c r="E541" s="100"/>
      <c r="F541" s="100"/>
      <c r="G541" s="100"/>
      <c r="H541" s="100"/>
      <c r="I541" s="100"/>
      <c r="J541" s="100"/>
      <c r="K541" s="100"/>
      <c r="L541" s="100"/>
      <c r="M541" s="100"/>
      <c r="N541" s="100"/>
      <c r="O541" s="100"/>
      <c r="P541" s="100"/>
      <c r="Q541" s="100"/>
      <c r="R541" s="100"/>
      <c r="S541" s="100"/>
      <c r="T541" s="100"/>
      <c r="U541" s="100"/>
      <c r="V541" s="100"/>
      <c r="W541" s="100"/>
      <c r="X541" s="100"/>
      <c r="Y541" s="100"/>
      <c r="Z541" s="100"/>
    </row>
    <row r="542" ht="15.75" customHeight="1" spans="1:26">
      <c r="A542" s="100"/>
      <c r="B542" s="101"/>
      <c r="C542" s="100"/>
      <c r="D542" s="100"/>
      <c r="E542" s="100"/>
      <c r="F542" s="100"/>
      <c r="G542" s="100"/>
      <c r="H542" s="100"/>
      <c r="I542" s="100"/>
      <c r="J542" s="100"/>
      <c r="K542" s="100"/>
      <c r="L542" s="100"/>
      <c r="M542" s="100"/>
      <c r="N542" s="100"/>
      <c r="O542" s="100"/>
      <c r="P542" s="100"/>
      <c r="Q542" s="100"/>
      <c r="R542" s="100"/>
      <c r="S542" s="100"/>
      <c r="T542" s="100"/>
      <c r="U542" s="100"/>
      <c r="V542" s="100"/>
      <c r="W542" s="100"/>
      <c r="X542" s="100"/>
      <c r="Y542" s="100"/>
      <c r="Z542" s="100"/>
    </row>
    <row r="543" ht="15.75" customHeight="1" spans="1:26">
      <c r="A543" s="100"/>
      <c r="B543" s="101"/>
      <c r="C543" s="100"/>
      <c r="D543" s="100"/>
      <c r="E543" s="100"/>
      <c r="F543" s="100"/>
      <c r="G543" s="100"/>
      <c r="H543" s="100"/>
      <c r="I543" s="100"/>
      <c r="J543" s="100"/>
      <c r="K543" s="100"/>
      <c r="L543" s="100"/>
      <c r="M543" s="100"/>
      <c r="N543" s="100"/>
      <c r="O543" s="100"/>
      <c r="P543" s="100"/>
      <c r="Q543" s="100"/>
      <c r="R543" s="100"/>
      <c r="S543" s="100"/>
      <c r="T543" s="100"/>
      <c r="U543" s="100"/>
      <c r="V543" s="100"/>
      <c r="W543" s="100"/>
      <c r="X543" s="100"/>
      <c r="Y543" s="100"/>
      <c r="Z543" s="100"/>
    </row>
    <row r="544" ht="15.75" customHeight="1" spans="1:26">
      <c r="A544" s="100"/>
      <c r="B544" s="101"/>
      <c r="C544" s="100"/>
      <c r="D544" s="100"/>
      <c r="E544" s="100"/>
      <c r="F544" s="100"/>
      <c r="G544" s="100"/>
      <c r="H544" s="100"/>
      <c r="I544" s="100"/>
      <c r="J544" s="100"/>
      <c r="K544" s="100"/>
      <c r="L544" s="100"/>
      <c r="M544" s="100"/>
      <c r="N544" s="100"/>
      <c r="O544" s="100"/>
      <c r="P544" s="100"/>
      <c r="Q544" s="100"/>
      <c r="R544" s="100"/>
      <c r="S544" s="100"/>
      <c r="T544" s="100"/>
      <c r="U544" s="100"/>
      <c r="V544" s="100"/>
      <c r="W544" s="100"/>
      <c r="X544" s="100"/>
      <c r="Y544" s="100"/>
      <c r="Z544" s="100"/>
    </row>
    <row r="545" ht="15.75" customHeight="1" spans="1:26">
      <c r="A545" s="100"/>
      <c r="B545" s="101"/>
      <c r="C545" s="100"/>
      <c r="D545" s="100"/>
      <c r="E545" s="100"/>
      <c r="F545" s="100"/>
      <c r="G545" s="100"/>
      <c r="H545" s="100"/>
      <c r="I545" s="100"/>
      <c r="J545" s="100"/>
      <c r="K545" s="100"/>
      <c r="L545" s="100"/>
      <c r="M545" s="100"/>
      <c r="N545" s="100"/>
      <c r="O545" s="100"/>
      <c r="P545" s="100"/>
      <c r="Q545" s="100"/>
      <c r="R545" s="100"/>
      <c r="S545" s="100"/>
      <c r="T545" s="100"/>
      <c r="U545" s="100"/>
      <c r="V545" s="100"/>
      <c r="W545" s="100"/>
      <c r="X545" s="100"/>
      <c r="Y545" s="100"/>
      <c r="Z545" s="100"/>
    </row>
    <row r="546" ht="15.75" customHeight="1" spans="1:26">
      <c r="A546" s="100"/>
      <c r="B546" s="101"/>
      <c r="C546" s="100"/>
      <c r="D546" s="100"/>
      <c r="E546" s="100"/>
      <c r="F546" s="100"/>
      <c r="G546" s="100"/>
      <c r="H546" s="100"/>
      <c r="I546" s="100"/>
      <c r="J546" s="100"/>
      <c r="K546" s="100"/>
      <c r="L546" s="100"/>
      <c r="M546" s="100"/>
      <c r="N546" s="100"/>
      <c r="O546" s="100"/>
      <c r="P546" s="100"/>
      <c r="Q546" s="100"/>
      <c r="R546" s="100"/>
      <c r="S546" s="100"/>
      <c r="T546" s="100"/>
      <c r="U546" s="100"/>
      <c r="V546" s="100"/>
      <c r="W546" s="100"/>
      <c r="X546" s="100"/>
      <c r="Y546" s="100"/>
      <c r="Z546" s="100"/>
    </row>
    <row r="547" ht="15.75" customHeight="1" spans="1:26">
      <c r="A547" s="100"/>
      <c r="B547" s="101"/>
      <c r="C547" s="100"/>
      <c r="D547" s="100"/>
      <c r="E547" s="100"/>
      <c r="F547" s="100"/>
      <c r="G547" s="100"/>
      <c r="H547" s="100"/>
      <c r="I547" s="100"/>
      <c r="J547" s="100"/>
      <c r="K547" s="100"/>
      <c r="L547" s="100"/>
      <c r="M547" s="100"/>
      <c r="N547" s="100"/>
      <c r="O547" s="100"/>
      <c r="P547" s="100"/>
      <c r="Q547" s="100"/>
      <c r="R547" s="100"/>
      <c r="S547" s="100"/>
      <c r="T547" s="100"/>
      <c r="U547" s="100"/>
      <c r="V547" s="100"/>
      <c r="W547" s="100"/>
      <c r="X547" s="100"/>
      <c r="Y547" s="100"/>
      <c r="Z547" s="100"/>
    </row>
    <row r="548" ht="15.75" customHeight="1" spans="1:26">
      <c r="A548" s="100"/>
      <c r="B548" s="101"/>
      <c r="C548" s="100"/>
      <c r="D548" s="100"/>
      <c r="E548" s="100"/>
      <c r="F548" s="100"/>
      <c r="G548" s="100"/>
      <c r="H548" s="100"/>
      <c r="I548" s="100"/>
      <c r="J548" s="100"/>
      <c r="K548" s="100"/>
      <c r="L548" s="100"/>
      <c r="M548" s="100"/>
      <c r="N548" s="100"/>
      <c r="O548" s="100"/>
      <c r="P548" s="100"/>
      <c r="Q548" s="100"/>
      <c r="R548" s="100"/>
      <c r="S548" s="100"/>
      <c r="T548" s="100"/>
      <c r="U548" s="100"/>
      <c r="V548" s="100"/>
      <c r="W548" s="100"/>
      <c r="X548" s="100"/>
      <c r="Y548" s="100"/>
      <c r="Z548" s="100"/>
    </row>
    <row r="549" ht="15.75" customHeight="1" spans="1:26">
      <c r="A549" s="100"/>
      <c r="B549" s="101"/>
      <c r="C549" s="100"/>
      <c r="D549" s="100"/>
      <c r="E549" s="100"/>
      <c r="F549" s="100"/>
      <c r="G549" s="100"/>
      <c r="H549" s="100"/>
      <c r="I549" s="100"/>
      <c r="J549" s="100"/>
      <c r="K549" s="100"/>
      <c r="L549" s="100"/>
      <c r="M549" s="100"/>
      <c r="N549" s="100"/>
      <c r="O549" s="100"/>
      <c r="P549" s="100"/>
      <c r="Q549" s="100"/>
      <c r="R549" s="100"/>
      <c r="S549" s="100"/>
      <c r="T549" s="100"/>
      <c r="U549" s="100"/>
      <c r="V549" s="100"/>
      <c r="W549" s="100"/>
      <c r="X549" s="100"/>
      <c r="Y549" s="100"/>
      <c r="Z549" s="100"/>
    </row>
    <row r="550" ht="15.75" customHeight="1" spans="1:26">
      <c r="A550" s="100"/>
      <c r="B550" s="101"/>
      <c r="C550" s="100"/>
      <c r="D550" s="100"/>
      <c r="E550" s="100"/>
      <c r="F550" s="100"/>
      <c r="G550" s="100"/>
      <c r="H550" s="100"/>
      <c r="I550" s="100"/>
      <c r="J550" s="100"/>
      <c r="K550" s="100"/>
      <c r="L550" s="100"/>
      <c r="M550" s="100"/>
      <c r="N550" s="100"/>
      <c r="O550" s="100"/>
      <c r="P550" s="100"/>
      <c r="Q550" s="100"/>
      <c r="R550" s="100"/>
      <c r="S550" s="100"/>
      <c r="T550" s="100"/>
      <c r="U550" s="100"/>
      <c r="V550" s="100"/>
      <c r="W550" s="100"/>
      <c r="X550" s="100"/>
      <c r="Y550" s="100"/>
      <c r="Z550" s="100"/>
    </row>
    <row r="551" ht="15.75" customHeight="1" spans="1:26">
      <c r="A551" s="100"/>
      <c r="B551" s="101"/>
      <c r="C551" s="100"/>
      <c r="D551" s="100"/>
      <c r="E551" s="100"/>
      <c r="F551" s="100"/>
      <c r="G551" s="100"/>
      <c r="H551" s="100"/>
      <c r="I551" s="100"/>
      <c r="J551" s="100"/>
      <c r="K551" s="100"/>
      <c r="L551" s="100"/>
      <c r="M551" s="100"/>
      <c r="N551" s="100"/>
      <c r="O551" s="100"/>
      <c r="P551" s="100"/>
      <c r="Q551" s="100"/>
      <c r="R551" s="100"/>
      <c r="S551" s="100"/>
      <c r="T551" s="100"/>
      <c r="U551" s="100"/>
      <c r="V551" s="100"/>
      <c r="W551" s="100"/>
      <c r="X551" s="100"/>
      <c r="Y551" s="100"/>
      <c r="Z551" s="100"/>
    </row>
    <row r="552" ht="15.75" customHeight="1" spans="1:26">
      <c r="A552" s="100"/>
      <c r="B552" s="101"/>
      <c r="C552" s="100"/>
      <c r="D552" s="100"/>
      <c r="E552" s="100"/>
      <c r="F552" s="100"/>
      <c r="G552" s="100"/>
      <c r="H552" s="100"/>
      <c r="I552" s="100"/>
      <c r="J552" s="100"/>
      <c r="K552" s="100"/>
      <c r="L552" s="100"/>
      <c r="M552" s="100"/>
      <c r="N552" s="100"/>
      <c r="O552" s="100"/>
      <c r="P552" s="100"/>
      <c r="Q552" s="100"/>
      <c r="R552" s="100"/>
      <c r="S552" s="100"/>
      <c r="T552" s="100"/>
      <c r="U552" s="100"/>
      <c r="V552" s="100"/>
      <c r="W552" s="100"/>
      <c r="X552" s="100"/>
      <c r="Y552" s="100"/>
      <c r="Z552" s="100"/>
    </row>
    <row r="553" ht="15.75" customHeight="1" spans="1:26">
      <c r="A553" s="100"/>
      <c r="B553" s="101"/>
      <c r="C553" s="100"/>
      <c r="D553" s="100"/>
      <c r="E553" s="100"/>
      <c r="F553" s="100"/>
      <c r="G553" s="100"/>
      <c r="H553" s="100"/>
      <c r="I553" s="100"/>
      <c r="J553" s="100"/>
      <c r="K553" s="100"/>
      <c r="L553" s="100"/>
      <c r="M553" s="100"/>
      <c r="N553" s="100"/>
      <c r="O553" s="100"/>
      <c r="P553" s="100"/>
      <c r="Q553" s="100"/>
      <c r="R553" s="100"/>
      <c r="S553" s="100"/>
      <c r="T553" s="100"/>
      <c r="U553" s="100"/>
      <c r="V553" s="100"/>
      <c r="W553" s="100"/>
      <c r="X553" s="100"/>
      <c r="Y553" s="100"/>
      <c r="Z553" s="100"/>
    </row>
    <row r="554" ht="15.75" customHeight="1" spans="1:26">
      <c r="A554" s="100"/>
      <c r="B554" s="101"/>
      <c r="C554" s="100"/>
      <c r="D554" s="100"/>
      <c r="E554" s="100"/>
      <c r="F554" s="100"/>
      <c r="G554" s="100"/>
      <c r="H554" s="100"/>
      <c r="I554" s="100"/>
      <c r="J554" s="100"/>
      <c r="K554" s="100"/>
      <c r="L554" s="100"/>
      <c r="M554" s="100"/>
      <c r="N554" s="100"/>
      <c r="O554" s="100"/>
      <c r="P554" s="100"/>
      <c r="Q554" s="100"/>
      <c r="R554" s="100"/>
      <c r="S554" s="100"/>
      <c r="T554" s="100"/>
      <c r="U554" s="100"/>
      <c r="V554" s="100"/>
      <c r="W554" s="100"/>
      <c r="X554" s="100"/>
      <c r="Y554" s="100"/>
      <c r="Z554" s="100"/>
    </row>
    <row r="555" ht="15.75" customHeight="1" spans="1:26">
      <c r="A555" s="100"/>
      <c r="B555" s="101"/>
      <c r="C555" s="100"/>
      <c r="D555" s="100"/>
      <c r="E555" s="100"/>
      <c r="F555" s="100"/>
      <c r="G555" s="100"/>
      <c r="H555" s="100"/>
      <c r="I555" s="100"/>
      <c r="J555" s="100"/>
      <c r="K555" s="100"/>
      <c r="L555" s="100"/>
      <c r="M555" s="100"/>
      <c r="N555" s="100"/>
      <c r="O555" s="100"/>
      <c r="P555" s="100"/>
      <c r="Q555" s="100"/>
      <c r="R555" s="100"/>
      <c r="S555" s="100"/>
      <c r="T555" s="100"/>
      <c r="U555" s="100"/>
      <c r="V555" s="100"/>
      <c r="W555" s="100"/>
      <c r="X555" s="100"/>
      <c r="Y555" s="100"/>
      <c r="Z555" s="100"/>
    </row>
    <row r="556" ht="15.75" customHeight="1" spans="1:26">
      <c r="A556" s="100"/>
      <c r="B556" s="101"/>
      <c r="C556" s="100"/>
      <c r="D556" s="100"/>
      <c r="E556" s="100"/>
      <c r="F556" s="100"/>
      <c r="G556" s="100"/>
      <c r="H556" s="100"/>
      <c r="I556" s="100"/>
      <c r="J556" s="100"/>
      <c r="K556" s="100"/>
      <c r="L556" s="100"/>
      <c r="M556" s="100"/>
      <c r="N556" s="100"/>
      <c r="O556" s="100"/>
      <c r="P556" s="100"/>
      <c r="Q556" s="100"/>
      <c r="R556" s="100"/>
      <c r="S556" s="100"/>
      <c r="T556" s="100"/>
      <c r="U556" s="100"/>
      <c r="V556" s="100"/>
      <c r="W556" s="100"/>
      <c r="X556" s="100"/>
      <c r="Y556" s="100"/>
      <c r="Z556" s="100"/>
    </row>
    <row r="557" ht="15.75" customHeight="1" spans="1:26">
      <c r="A557" s="100"/>
      <c r="B557" s="101"/>
      <c r="C557" s="100"/>
      <c r="D557" s="100"/>
      <c r="E557" s="100"/>
      <c r="F557" s="100"/>
      <c r="G557" s="100"/>
      <c r="H557" s="100"/>
      <c r="I557" s="100"/>
      <c r="J557" s="100"/>
      <c r="K557" s="100"/>
      <c r="L557" s="100"/>
      <c r="M557" s="100"/>
      <c r="N557" s="100"/>
      <c r="O557" s="100"/>
      <c r="P557" s="100"/>
      <c r="Q557" s="100"/>
      <c r="R557" s="100"/>
      <c r="S557" s="100"/>
      <c r="T557" s="100"/>
      <c r="U557" s="100"/>
      <c r="V557" s="100"/>
      <c r="W557" s="100"/>
      <c r="X557" s="100"/>
      <c r="Y557" s="100"/>
      <c r="Z557" s="100"/>
    </row>
    <row r="558" ht="15.75" customHeight="1" spans="1:26">
      <c r="A558" s="100"/>
      <c r="B558" s="101"/>
      <c r="C558" s="100"/>
      <c r="D558" s="100"/>
      <c r="E558" s="100"/>
      <c r="F558" s="100"/>
      <c r="G558" s="100"/>
      <c r="H558" s="100"/>
      <c r="I558" s="100"/>
      <c r="J558" s="100"/>
      <c r="K558" s="100"/>
      <c r="L558" s="100"/>
      <c r="M558" s="100"/>
      <c r="N558" s="100"/>
      <c r="O558" s="100"/>
      <c r="P558" s="100"/>
      <c r="Q558" s="100"/>
      <c r="R558" s="100"/>
      <c r="S558" s="100"/>
      <c r="T558" s="100"/>
      <c r="U558" s="100"/>
      <c r="V558" s="100"/>
      <c r="W558" s="100"/>
      <c r="X558" s="100"/>
      <c r="Y558" s="100"/>
      <c r="Z558" s="100"/>
    </row>
    <row r="559" ht="15.75" customHeight="1" spans="1:26">
      <c r="A559" s="100"/>
      <c r="B559" s="101"/>
      <c r="C559" s="100"/>
      <c r="D559" s="100"/>
      <c r="E559" s="100"/>
      <c r="F559" s="100"/>
      <c r="G559" s="100"/>
      <c r="H559" s="100"/>
      <c r="I559" s="100"/>
      <c r="J559" s="100"/>
      <c r="K559" s="100"/>
      <c r="L559" s="100"/>
      <c r="M559" s="100"/>
      <c r="N559" s="100"/>
      <c r="O559" s="100"/>
      <c r="P559" s="100"/>
      <c r="Q559" s="100"/>
      <c r="R559" s="100"/>
      <c r="S559" s="100"/>
      <c r="T559" s="100"/>
      <c r="U559" s="100"/>
      <c r="V559" s="100"/>
      <c r="W559" s="100"/>
      <c r="X559" s="100"/>
      <c r="Y559" s="100"/>
      <c r="Z559" s="100"/>
    </row>
    <row r="560" ht="15.75" customHeight="1" spans="1:26">
      <c r="A560" s="100"/>
      <c r="B560" s="101"/>
      <c r="C560" s="100"/>
      <c r="D560" s="100"/>
      <c r="E560" s="100"/>
      <c r="F560" s="100"/>
      <c r="G560" s="100"/>
      <c r="H560" s="100"/>
      <c r="I560" s="100"/>
      <c r="J560" s="100"/>
      <c r="K560" s="100"/>
      <c r="L560" s="100"/>
      <c r="M560" s="100"/>
      <c r="N560" s="100"/>
      <c r="O560" s="100"/>
      <c r="P560" s="100"/>
      <c r="Q560" s="100"/>
      <c r="R560" s="100"/>
      <c r="S560" s="100"/>
      <c r="T560" s="100"/>
      <c r="U560" s="100"/>
      <c r="V560" s="100"/>
      <c r="W560" s="100"/>
      <c r="X560" s="100"/>
      <c r="Y560" s="100"/>
      <c r="Z560" s="100"/>
    </row>
    <row r="561" ht="15.75" customHeight="1" spans="1:26">
      <c r="A561" s="100"/>
      <c r="B561" s="101"/>
      <c r="C561" s="100"/>
      <c r="D561" s="100"/>
      <c r="E561" s="100"/>
      <c r="F561" s="100"/>
      <c r="G561" s="100"/>
      <c r="H561" s="100"/>
      <c r="I561" s="100"/>
      <c r="J561" s="100"/>
      <c r="K561" s="100"/>
      <c r="L561" s="100"/>
      <c r="M561" s="100"/>
      <c r="N561" s="100"/>
      <c r="O561" s="100"/>
      <c r="P561" s="100"/>
      <c r="Q561" s="100"/>
      <c r="R561" s="100"/>
      <c r="S561" s="100"/>
      <c r="T561" s="100"/>
      <c r="U561" s="100"/>
      <c r="V561" s="100"/>
      <c r="W561" s="100"/>
      <c r="X561" s="100"/>
      <c r="Y561" s="100"/>
      <c r="Z561" s="100"/>
    </row>
    <row r="562" ht="15.75" customHeight="1" spans="1:26">
      <c r="A562" s="100"/>
      <c r="B562" s="101"/>
      <c r="C562" s="100"/>
      <c r="D562" s="100"/>
      <c r="E562" s="100"/>
      <c r="F562" s="100"/>
      <c r="G562" s="100"/>
      <c r="H562" s="100"/>
      <c r="I562" s="100"/>
      <c r="J562" s="100"/>
      <c r="K562" s="100"/>
      <c r="L562" s="100"/>
      <c r="M562" s="100"/>
      <c r="N562" s="100"/>
      <c r="O562" s="100"/>
      <c r="P562" s="100"/>
      <c r="Q562" s="100"/>
      <c r="R562" s="100"/>
      <c r="S562" s="100"/>
      <c r="T562" s="100"/>
      <c r="U562" s="100"/>
      <c r="V562" s="100"/>
      <c r="W562" s="100"/>
      <c r="X562" s="100"/>
      <c r="Y562" s="100"/>
      <c r="Z562" s="100"/>
    </row>
    <row r="563" ht="15.75" customHeight="1" spans="1:26">
      <c r="A563" s="100"/>
      <c r="B563" s="101"/>
      <c r="C563" s="100"/>
      <c r="D563" s="100"/>
      <c r="E563" s="100"/>
      <c r="F563" s="100"/>
      <c r="G563" s="100"/>
      <c r="H563" s="100"/>
      <c r="I563" s="100"/>
      <c r="J563" s="100"/>
      <c r="K563" s="100"/>
      <c r="L563" s="100"/>
      <c r="M563" s="100"/>
      <c r="N563" s="100"/>
      <c r="O563" s="100"/>
      <c r="P563" s="100"/>
      <c r="Q563" s="100"/>
      <c r="R563" s="100"/>
      <c r="S563" s="100"/>
      <c r="T563" s="100"/>
      <c r="U563" s="100"/>
      <c r="V563" s="100"/>
      <c r="W563" s="100"/>
      <c r="X563" s="100"/>
      <c r="Y563" s="100"/>
      <c r="Z563" s="100"/>
    </row>
    <row r="564" ht="15.75" customHeight="1" spans="1:26">
      <c r="A564" s="100"/>
      <c r="B564" s="101"/>
      <c r="C564" s="100"/>
      <c r="D564" s="100"/>
      <c r="E564" s="100"/>
      <c r="F564" s="100"/>
      <c r="G564" s="100"/>
      <c r="H564" s="100"/>
      <c r="I564" s="100"/>
      <c r="J564" s="100"/>
      <c r="K564" s="100"/>
      <c r="L564" s="100"/>
      <c r="M564" s="100"/>
      <c r="N564" s="100"/>
      <c r="O564" s="100"/>
      <c r="P564" s="100"/>
      <c r="Q564" s="100"/>
      <c r="R564" s="100"/>
      <c r="S564" s="100"/>
      <c r="T564" s="100"/>
      <c r="U564" s="100"/>
      <c r="V564" s="100"/>
      <c r="W564" s="100"/>
      <c r="X564" s="100"/>
      <c r="Y564" s="100"/>
      <c r="Z564" s="100"/>
    </row>
    <row r="565" ht="15.75" customHeight="1" spans="1:26">
      <c r="A565" s="100"/>
      <c r="B565" s="101"/>
      <c r="C565" s="100"/>
      <c r="D565" s="100"/>
      <c r="E565" s="100"/>
      <c r="F565" s="100"/>
      <c r="G565" s="100"/>
      <c r="H565" s="100"/>
      <c r="I565" s="100"/>
      <c r="J565" s="100"/>
      <c r="K565" s="100"/>
      <c r="L565" s="100"/>
      <c r="M565" s="100"/>
      <c r="N565" s="100"/>
      <c r="O565" s="100"/>
      <c r="P565" s="100"/>
      <c r="Q565" s="100"/>
      <c r="R565" s="100"/>
      <c r="S565" s="100"/>
      <c r="T565" s="100"/>
      <c r="U565" s="100"/>
      <c r="V565" s="100"/>
      <c r="W565" s="100"/>
      <c r="X565" s="100"/>
      <c r="Y565" s="100"/>
      <c r="Z565" s="100"/>
    </row>
    <row r="566" ht="15.75" customHeight="1" spans="1:26">
      <c r="A566" s="100"/>
      <c r="B566" s="101"/>
      <c r="C566" s="100"/>
      <c r="D566" s="100"/>
      <c r="E566" s="100"/>
      <c r="F566" s="100"/>
      <c r="G566" s="100"/>
      <c r="H566" s="100"/>
      <c r="I566" s="100"/>
      <c r="J566" s="100"/>
      <c r="K566" s="100"/>
      <c r="L566" s="100"/>
      <c r="M566" s="100"/>
      <c r="N566" s="100"/>
      <c r="O566" s="100"/>
      <c r="P566" s="100"/>
      <c r="Q566" s="100"/>
      <c r="R566" s="100"/>
      <c r="S566" s="100"/>
      <c r="T566" s="100"/>
      <c r="U566" s="100"/>
      <c r="V566" s="100"/>
      <c r="W566" s="100"/>
      <c r="X566" s="100"/>
      <c r="Y566" s="100"/>
      <c r="Z566" s="100"/>
    </row>
    <row r="567" ht="15.75" customHeight="1" spans="1:26">
      <c r="A567" s="100"/>
      <c r="B567" s="101"/>
      <c r="C567" s="100"/>
      <c r="D567" s="100"/>
      <c r="E567" s="100"/>
      <c r="F567" s="100"/>
      <c r="G567" s="100"/>
      <c r="H567" s="100"/>
      <c r="I567" s="100"/>
      <c r="J567" s="100"/>
      <c r="K567" s="100"/>
      <c r="L567" s="100"/>
      <c r="M567" s="100"/>
      <c r="N567" s="100"/>
      <c r="O567" s="100"/>
      <c r="P567" s="100"/>
      <c r="Q567" s="100"/>
      <c r="R567" s="100"/>
      <c r="S567" s="100"/>
      <c r="T567" s="100"/>
      <c r="U567" s="100"/>
      <c r="V567" s="100"/>
      <c r="W567" s="100"/>
      <c r="X567" s="100"/>
      <c r="Y567" s="100"/>
      <c r="Z567" s="100"/>
    </row>
    <row r="568" ht="15.75" customHeight="1" spans="1:26">
      <c r="A568" s="100"/>
      <c r="B568" s="101"/>
      <c r="C568" s="100"/>
      <c r="D568" s="100"/>
      <c r="E568" s="100"/>
      <c r="F568" s="100"/>
      <c r="G568" s="100"/>
      <c r="H568" s="100"/>
      <c r="I568" s="100"/>
      <c r="J568" s="100"/>
      <c r="K568" s="100"/>
      <c r="L568" s="100"/>
      <c r="M568" s="100"/>
      <c r="N568" s="100"/>
      <c r="O568" s="100"/>
      <c r="P568" s="100"/>
      <c r="Q568" s="100"/>
      <c r="R568" s="100"/>
      <c r="S568" s="100"/>
      <c r="T568" s="100"/>
      <c r="U568" s="100"/>
      <c r="V568" s="100"/>
      <c r="W568" s="100"/>
      <c r="X568" s="100"/>
      <c r="Y568" s="100"/>
      <c r="Z568" s="100"/>
    </row>
    <row r="569" ht="15.75" customHeight="1" spans="1:26">
      <c r="A569" s="100"/>
      <c r="B569" s="101"/>
      <c r="C569" s="100"/>
      <c r="D569" s="100"/>
      <c r="E569" s="100"/>
      <c r="F569" s="100"/>
      <c r="G569" s="100"/>
      <c r="H569" s="100"/>
      <c r="I569" s="100"/>
      <c r="J569" s="100"/>
      <c r="K569" s="100"/>
      <c r="L569" s="100"/>
      <c r="M569" s="100"/>
      <c r="N569" s="100"/>
      <c r="O569" s="100"/>
      <c r="P569" s="100"/>
      <c r="Q569" s="100"/>
      <c r="R569" s="100"/>
      <c r="S569" s="100"/>
      <c r="T569" s="100"/>
      <c r="U569" s="100"/>
      <c r="V569" s="100"/>
      <c r="W569" s="100"/>
      <c r="X569" s="100"/>
      <c r="Y569" s="100"/>
      <c r="Z569" s="100"/>
    </row>
    <row r="570" ht="15.75" customHeight="1" spans="1:26">
      <c r="A570" s="100"/>
      <c r="B570" s="101"/>
      <c r="C570" s="100"/>
      <c r="D570" s="100"/>
      <c r="E570" s="100"/>
      <c r="F570" s="100"/>
      <c r="G570" s="100"/>
      <c r="H570" s="100"/>
      <c r="I570" s="100"/>
      <c r="J570" s="100"/>
      <c r="K570" s="100"/>
      <c r="L570" s="100"/>
      <c r="M570" s="100"/>
      <c r="N570" s="100"/>
      <c r="O570" s="100"/>
      <c r="P570" s="100"/>
      <c r="Q570" s="100"/>
      <c r="R570" s="100"/>
      <c r="S570" s="100"/>
      <c r="T570" s="100"/>
      <c r="U570" s="100"/>
      <c r="V570" s="100"/>
      <c r="W570" s="100"/>
      <c r="X570" s="100"/>
      <c r="Y570" s="100"/>
      <c r="Z570" s="100"/>
    </row>
    <row r="571" ht="15.75" customHeight="1" spans="1:26">
      <c r="A571" s="100"/>
      <c r="B571" s="101"/>
      <c r="C571" s="100"/>
      <c r="D571" s="100"/>
      <c r="E571" s="100"/>
      <c r="F571" s="100"/>
      <c r="G571" s="100"/>
      <c r="H571" s="100"/>
      <c r="I571" s="100"/>
      <c r="J571" s="100"/>
      <c r="K571" s="100"/>
      <c r="L571" s="100"/>
      <c r="M571" s="100"/>
      <c r="N571" s="100"/>
      <c r="O571" s="100"/>
      <c r="P571" s="100"/>
      <c r="Q571" s="100"/>
      <c r="R571" s="100"/>
      <c r="S571" s="100"/>
      <c r="T571" s="100"/>
      <c r="U571" s="100"/>
      <c r="V571" s="100"/>
      <c r="W571" s="100"/>
      <c r="X571" s="100"/>
      <c r="Y571" s="100"/>
      <c r="Z571" s="100"/>
    </row>
    <row r="572" ht="15.75" customHeight="1" spans="1:26">
      <c r="A572" s="100"/>
      <c r="B572" s="101"/>
      <c r="C572" s="100"/>
      <c r="D572" s="100"/>
      <c r="E572" s="100"/>
      <c r="F572" s="100"/>
      <c r="G572" s="100"/>
      <c r="H572" s="100"/>
      <c r="I572" s="100"/>
      <c r="J572" s="100"/>
      <c r="K572" s="100"/>
      <c r="L572" s="100"/>
      <c r="M572" s="100"/>
      <c r="N572" s="100"/>
      <c r="O572" s="100"/>
      <c r="P572" s="100"/>
      <c r="Q572" s="100"/>
      <c r="R572" s="100"/>
      <c r="S572" s="100"/>
      <c r="T572" s="100"/>
      <c r="U572" s="100"/>
      <c r="V572" s="100"/>
      <c r="W572" s="100"/>
      <c r="X572" s="100"/>
      <c r="Y572" s="100"/>
      <c r="Z572" s="100"/>
    </row>
    <row r="573" ht="15.75" customHeight="1" spans="1:26">
      <c r="A573" s="100"/>
      <c r="B573" s="101"/>
      <c r="C573" s="100"/>
      <c r="D573" s="100"/>
      <c r="E573" s="100"/>
      <c r="F573" s="100"/>
      <c r="G573" s="100"/>
      <c r="H573" s="100"/>
      <c r="I573" s="100"/>
      <c r="J573" s="100"/>
      <c r="K573" s="100"/>
      <c r="L573" s="100"/>
      <c r="M573" s="100"/>
      <c r="N573" s="100"/>
      <c r="O573" s="100"/>
      <c r="P573" s="100"/>
      <c r="Q573" s="100"/>
      <c r="R573" s="100"/>
      <c r="S573" s="100"/>
      <c r="T573" s="100"/>
      <c r="U573" s="100"/>
      <c r="V573" s="100"/>
      <c r="W573" s="100"/>
      <c r="X573" s="100"/>
      <c r="Y573" s="100"/>
      <c r="Z573" s="100"/>
    </row>
    <row r="574" ht="15.75" customHeight="1" spans="1:26">
      <c r="A574" s="100"/>
      <c r="B574" s="101"/>
      <c r="C574" s="100"/>
      <c r="D574" s="100"/>
      <c r="E574" s="100"/>
      <c r="F574" s="100"/>
      <c r="G574" s="100"/>
      <c r="H574" s="100"/>
      <c r="I574" s="100"/>
      <c r="J574" s="100"/>
      <c r="K574" s="100"/>
      <c r="L574" s="100"/>
      <c r="M574" s="100"/>
      <c r="N574" s="100"/>
      <c r="O574" s="100"/>
      <c r="P574" s="100"/>
      <c r="Q574" s="100"/>
      <c r="R574" s="100"/>
      <c r="S574" s="100"/>
      <c r="T574" s="100"/>
      <c r="U574" s="100"/>
      <c r="V574" s="100"/>
      <c r="W574" s="100"/>
      <c r="X574" s="100"/>
      <c r="Y574" s="100"/>
      <c r="Z574" s="100"/>
    </row>
    <row r="575" ht="15.75" customHeight="1" spans="1:26">
      <c r="A575" s="100"/>
      <c r="B575" s="101"/>
      <c r="C575" s="100"/>
      <c r="D575" s="100"/>
      <c r="E575" s="100"/>
      <c r="F575" s="100"/>
      <c r="G575" s="100"/>
      <c r="H575" s="100"/>
      <c r="I575" s="100"/>
      <c r="J575" s="100"/>
      <c r="K575" s="100"/>
      <c r="L575" s="100"/>
      <c r="M575" s="100"/>
      <c r="N575" s="100"/>
      <c r="O575" s="100"/>
      <c r="P575" s="100"/>
      <c r="Q575" s="100"/>
      <c r="R575" s="100"/>
      <c r="S575" s="100"/>
      <c r="T575" s="100"/>
      <c r="U575" s="100"/>
      <c r="V575" s="100"/>
      <c r="W575" s="100"/>
      <c r="X575" s="100"/>
      <c r="Y575" s="100"/>
      <c r="Z575" s="100"/>
    </row>
    <row r="576" ht="15.75" customHeight="1" spans="1:26">
      <c r="A576" s="100"/>
      <c r="B576" s="101"/>
      <c r="C576" s="100"/>
      <c r="D576" s="100"/>
      <c r="E576" s="100"/>
      <c r="F576" s="100"/>
      <c r="G576" s="100"/>
      <c r="H576" s="100"/>
      <c r="I576" s="100"/>
      <c r="J576" s="100"/>
      <c r="K576" s="100"/>
      <c r="L576" s="100"/>
      <c r="M576" s="100"/>
      <c r="N576" s="100"/>
      <c r="O576" s="100"/>
      <c r="P576" s="100"/>
      <c r="Q576" s="100"/>
      <c r="R576" s="100"/>
      <c r="S576" s="100"/>
      <c r="T576" s="100"/>
      <c r="U576" s="100"/>
      <c r="V576" s="100"/>
      <c r="W576" s="100"/>
      <c r="X576" s="100"/>
      <c r="Y576" s="100"/>
      <c r="Z576" s="100"/>
    </row>
    <row r="577" ht="15.75" customHeight="1" spans="1:26">
      <c r="A577" s="100"/>
      <c r="B577" s="101"/>
      <c r="C577" s="100"/>
      <c r="D577" s="100"/>
      <c r="E577" s="100"/>
      <c r="F577" s="100"/>
      <c r="G577" s="100"/>
      <c r="H577" s="100"/>
      <c r="I577" s="100"/>
      <c r="J577" s="100"/>
      <c r="K577" s="100"/>
      <c r="L577" s="100"/>
      <c r="M577" s="100"/>
      <c r="N577" s="100"/>
      <c r="O577" s="100"/>
      <c r="P577" s="100"/>
      <c r="Q577" s="100"/>
      <c r="R577" s="100"/>
      <c r="S577" s="100"/>
      <c r="T577" s="100"/>
      <c r="U577" s="100"/>
      <c r="V577" s="100"/>
      <c r="W577" s="100"/>
      <c r="X577" s="100"/>
      <c r="Y577" s="100"/>
      <c r="Z577" s="100"/>
    </row>
    <row r="578" ht="15.75" customHeight="1" spans="1:26">
      <c r="A578" s="100"/>
      <c r="B578" s="101"/>
      <c r="C578" s="100"/>
      <c r="D578" s="100"/>
      <c r="E578" s="100"/>
      <c r="F578" s="100"/>
      <c r="G578" s="100"/>
      <c r="H578" s="100"/>
      <c r="I578" s="100"/>
      <c r="J578" s="100"/>
      <c r="K578" s="100"/>
      <c r="L578" s="100"/>
      <c r="M578" s="100"/>
      <c r="N578" s="100"/>
      <c r="O578" s="100"/>
      <c r="P578" s="100"/>
      <c r="Q578" s="100"/>
      <c r="R578" s="100"/>
      <c r="S578" s="100"/>
      <c r="T578" s="100"/>
      <c r="U578" s="100"/>
      <c r="V578" s="100"/>
      <c r="W578" s="100"/>
      <c r="X578" s="100"/>
      <c r="Y578" s="100"/>
      <c r="Z578" s="100"/>
    </row>
    <row r="579" ht="15.75" customHeight="1" spans="1:26">
      <c r="A579" s="100"/>
      <c r="B579" s="101"/>
      <c r="C579" s="100"/>
      <c r="D579" s="100"/>
      <c r="E579" s="100"/>
      <c r="F579" s="100"/>
      <c r="G579" s="100"/>
      <c r="H579" s="100"/>
      <c r="I579" s="100"/>
      <c r="J579" s="100"/>
      <c r="K579" s="100"/>
      <c r="L579" s="100"/>
      <c r="M579" s="100"/>
      <c r="N579" s="100"/>
      <c r="O579" s="100"/>
      <c r="P579" s="100"/>
      <c r="Q579" s="100"/>
      <c r="R579" s="100"/>
      <c r="S579" s="100"/>
      <c r="T579" s="100"/>
      <c r="U579" s="100"/>
      <c r="V579" s="100"/>
      <c r="W579" s="100"/>
      <c r="X579" s="100"/>
      <c r="Y579" s="100"/>
      <c r="Z579" s="100"/>
    </row>
    <row r="580" ht="15.75" customHeight="1" spans="1:26">
      <c r="A580" s="100"/>
      <c r="B580" s="101"/>
      <c r="C580" s="100"/>
      <c r="D580" s="100"/>
      <c r="E580" s="100"/>
      <c r="F580" s="100"/>
      <c r="G580" s="100"/>
      <c r="H580" s="100"/>
      <c r="I580" s="100"/>
      <c r="J580" s="100"/>
      <c r="K580" s="100"/>
      <c r="L580" s="100"/>
      <c r="M580" s="100"/>
      <c r="N580" s="100"/>
      <c r="O580" s="100"/>
      <c r="P580" s="100"/>
      <c r="Q580" s="100"/>
      <c r="R580" s="100"/>
      <c r="S580" s="100"/>
      <c r="T580" s="100"/>
      <c r="U580" s="100"/>
      <c r="V580" s="100"/>
      <c r="W580" s="100"/>
      <c r="X580" s="100"/>
      <c r="Y580" s="100"/>
      <c r="Z580" s="100"/>
    </row>
    <row r="581" ht="15.75" customHeight="1" spans="1:26">
      <c r="A581" s="100"/>
      <c r="B581" s="101"/>
      <c r="C581" s="100"/>
      <c r="D581" s="100"/>
      <c r="E581" s="100"/>
      <c r="F581" s="100"/>
      <c r="G581" s="100"/>
      <c r="H581" s="100"/>
      <c r="I581" s="100"/>
      <c r="J581" s="100"/>
      <c r="K581" s="100"/>
      <c r="L581" s="100"/>
      <c r="M581" s="100"/>
      <c r="N581" s="100"/>
      <c r="O581" s="100"/>
      <c r="P581" s="100"/>
      <c r="Q581" s="100"/>
      <c r="R581" s="100"/>
      <c r="S581" s="100"/>
      <c r="T581" s="100"/>
      <c r="U581" s="100"/>
      <c r="V581" s="100"/>
      <c r="W581" s="100"/>
      <c r="X581" s="100"/>
      <c r="Y581" s="100"/>
      <c r="Z581" s="100"/>
    </row>
    <row r="582" ht="15.75" customHeight="1" spans="1:26">
      <c r="A582" s="100"/>
      <c r="B582" s="101"/>
      <c r="C582" s="100"/>
      <c r="D582" s="100"/>
      <c r="E582" s="100"/>
      <c r="F582" s="100"/>
      <c r="G582" s="100"/>
      <c r="H582" s="100"/>
      <c r="I582" s="100"/>
      <c r="J582" s="100"/>
      <c r="K582" s="100"/>
      <c r="L582" s="100"/>
      <c r="M582" s="100"/>
      <c r="N582" s="100"/>
      <c r="O582" s="100"/>
      <c r="P582" s="100"/>
      <c r="Q582" s="100"/>
      <c r="R582" s="100"/>
      <c r="S582" s="100"/>
      <c r="T582" s="100"/>
      <c r="U582" s="100"/>
      <c r="V582" s="100"/>
      <c r="W582" s="100"/>
      <c r="X582" s="100"/>
      <c r="Y582" s="100"/>
      <c r="Z582" s="100"/>
    </row>
    <row r="583" ht="15.75" customHeight="1" spans="1:26">
      <c r="A583" s="100"/>
      <c r="B583" s="101"/>
      <c r="C583" s="100"/>
      <c r="D583" s="100"/>
      <c r="E583" s="100"/>
      <c r="F583" s="100"/>
      <c r="G583" s="100"/>
      <c r="H583" s="100"/>
      <c r="I583" s="100"/>
      <c r="J583" s="100"/>
      <c r="K583" s="100"/>
      <c r="L583" s="100"/>
      <c r="M583" s="100"/>
      <c r="N583" s="100"/>
      <c r="O583" s="100"/>
      <c r="P583" s="100"/>
      <c r="Q583" s="100"/>
      <c r="R583" s="100"/>
      <c r="S583" s="100"/>
      <c r="T583" s="100"/>
      <c r="U583" s="100"/>
      <c r="V583" s="100"/>
      <c r="W583" s="100"/>
      <c r="X583" s="100"/>
      <c r="Y583" s="100"/>
      <c r="Z583" s="100"/>
    </row>
    <row r="584" ht="15.75" customHeight="1" spans="1:26">
      <c r="A584" s="100"/>
      <c r="B584" s="101"/>
      <c r="C584" s="100"/>
      <c r="D584" s="100"/>
      <c r="E584" s="100"/>
      <c r="F584" s="100"/>
      <c r="G584" s="100"/>
      <c r="H584" s="100"/>
      <c r="I584" s="100"/>
      <c r="J584" s="100"/>
      <c r="K584" s="100"/>
      <c r="L584" s="100"/>
      <c r="M584" s="100"/>
      <c r="N584" s="100"/>
      <c r="O584" s="100"/>
      <c r="P584" s="100"/>
      <c r="Q584" s="100"/>
      <c r="R584" s="100"/>
      <c r="S584" s="100"/>
      <c r="T584" s="100"/>
      <c r="U584" s="100"/>
      <c r="V584" s="100"/>
      <c r="W584" s="100"/>
      <c r="X584" s="100"/>
      <c r="Y584" s="100"/>
      <c r="Z584" s="100"/>
    </row>
    <row r="585" ht="15.75" customHeight="1" spans="1:26">
      <c r="A585" s="100"/>
      <c r="B585" s="101"/>
      <c r="C585" s="100"/>
      <c r="D585" s="100"/>
      <c r="E585" s="100"/>
      <c r="F585" s="100"/>
      <c r="G585" s="100"/>
      <c r="H585" s="100"/>
      <c r="I585" s="100"/>
      <c r="J585" s="100"/>
      <c r="K585" s="100"/>
      <c r="L585" s="100"/>
      <c r="M585" s="100"/>
      <c r="N585" s="100"/>
      <c r="O585" s="100"/>
      <c r="P585" s="100"/>
      <c r="Q585" s="100"/>
      <c r="R585" s="100"/>
      <c r="S585" s="100"/>
      <c r="T585" s="100"/>
      <c r="U585" s="100"/>
      <c r="V585" s="100"/>
      <c r="W585" s="100"/>
      <c r="X585" s="100"/>
      <c r="Y585" s="100"/>
      <c r="Z585" s="100"/>
    </row>
    <row r="586" ht="15.75" customHeight="1" spans="1:26">
      <c r="A586" s="100"/>
      <c r="B586" s="101"/>
      <c r="C586" s="100"/>
      <c r="D586" s="100"/>
      <c r="E586" s="100"/>
      <c r="F586" s="100"/>
      <c r="G586" s="100"/>
      <c r="H586" s="100"/>
      <c r="I586" s="100"/>
      <c r="J586" s="100"/>
      <c r="K586" s="100"/>
      <c r="L586" s="100"/>
      <c r="M586" s="100"/>
      <c r="N586" s="100"/>
      <c r="O586" s="100"/>
      <c r="P586" s="100"/>
      <c r="Q586" s="100"/>
      <c r="R586" s="100"/>
      <c r="S586" s="100"/>
      <c r="T586" s="100"/>
      <c r="U586" s="100"/>
      <c r="V586" s="100"/>
      <c r="W586" s="100"/>
      <c r="X586" s="100"/>
      <c r="Y586" s="100"/>
      <c r="Z586" s="100"/>
    </row>
    <row r="587" ht="15.75" customHeight="1" spans="1:26">
      <c r="A587" s="100"/>
      <c r="B587" s="101"/>
      <c r="C587" s="100"/>
      <c r="D587" s="100"/>
      <c r="E587" s="100"/>
      <c r="F587" s="100"/>
      <c r="G587" s="100"/>
      <c r="H587" s="100"/>
      <c r="I587" s="100"/>
      <c r="J587" s="100"/>
      <c r="K587" s="100"/>
      <c r="L587" s="100"/>
      <c r="M587" s="100"/>
      <c r="N587" s="100"/>
      <c r="O587" s="100"/>
      <c r="P587" s="100"/>
      <c r="Q587" s="100"/>
      <c r="R587" s="100"/>
      <c r="S587" s="100"/>
      <c r="T587" s="100"/>
      <c r="U587" s="100"/>
      <c r="V587" s="100"/>
      <c r="W587" s="100"/>
      <c r="X587" s="100"/>
      <c r="Y587" s="100"/>
      <c r="Z587" s="100"/>
    </row>
    <row r="588" ht="15.75" customHeight="1" spans="1:26">
      <c r="A588" s="100"/>
      <c r="B588" s="101"/>
      <c r="C588" s="100"/>
      <c r="D588" s="100"/>
      <c r="E588" s="100"/>
      <c r="F588" s="100"/>
      <c r="G588" s="100"/>
      <c r="H588" s="100"/>
      <c r="I588" s="100"/>
      <c r="J588" s="100"/>
      <c r="K588" s="100"/>
      <c r="L588" s="100"/>
      <c r="M588" s="100"/>
      <c r="N588" s="100"/>
      <c r="O588" s="100"/>
      <c r="P588" s="100"/>
      <c r="Q588" s="100"/>
      <c r="R588" s="100"/>
      <c r="S588" s="100"/>
      <c r="T588" s="100"/>
      <c r="U588" s="100"/>
      <c r="V588" s="100"/>
      <c r="W588" s="100"/>
      <c r="X588" s="100"/>
      <c r="Y588" s="100"/>
      <c r="Z588" s="100"/>
    </row>
    <row r="589" ht="15.75" customHeight="1" spans="1:26">
      <c r="A589" s="100"/>
      <c r="B589" s="101"/>
      <c r="C589" s="100"/>
      <c r="D589" s="100"/>
      <c r="E589" s="100"/>
      <c r="F589" s="100"/>
      <c r="G589" s="100"/>
      <c r="H589" s="100"/>
      <c r="I589" s="100"/>
      <c r="J589" s="100"/>
      <c r="K589" s="100"/>
      <c r="L589" s="100"/>
      <c r="M589" s="100"/>
      <c r="N589" s="100"/>
      <c r="O589" s="100"/>
      <c r="P589" s="100"/>
      <c r="Q589" s="100"/>
      <c r="R589" s="100"/>
      <c r="S589" s="100"/>
      <c r="T589" s="100"/>
      <c r="U589" s="100"/>
      <c r="V589" s="100"/>
      <c r="W589" s="100"/>
      <c r="X589" s="100"/>
      <c r="Y589" s="100"/>
      <c r="Z589" s="100"/>
    </row>
    <row r="590" ht="15.75" customHeight="1" spans="1:26">
      <c r="A590" s="100"/>
      <c r="B590" s="101"/>
      <c r="C590" s="100"/>
      <c r="D590" s="100"/>
      <c r="E590" s="100"/>
      <c r="F590" s="100"/>
      <c r="G590" s="100"/>
      <c r="H590" s="100"/>
      <c r="I590" s="100"/>
      <c r="J590" s="100"/>
      <c r="K590" s="100"/>
      <c r="L590" s="100"/>
      <c r="M590" s="100"/>
      <c r="N590" s="100"/>
      <c r="O590" s="100"/>
      <c r="P590" s="100"/>
      <c r="Q590" s="100"/>
      <c r="R590" s="100"/>
      <c r="S590" s="100"/>
      <c r="T590" s="100"/>
      <c r="U590" s="100"/>
      <c r="V590" s="100"/>
      <c r="W590" s="100"/>
      <c r="X590" s="100"/>
      <c r="Y590" s="100"/>
      <c r="Z590" s="100"/>
    </row>
    <row r="591" ht="15.75" customHeight="1" spans="1:26">
      <c r="A591" s="100"/>
      <c r="B591" s="101"/>
      <c r="C591" s="100"/>
      <c r="D591" s="100"/>
      <c r="E591" s="100"/>
      <c r="F591" s="100"/>
      <c r="G591" s="100"/>
      <c r="H591" s="100"/>
      <c r="I591" s="100"/>
      <c r="J591" s="100"/>
      <c r="K591" s="100"/>
      <c r="L591" s="100"/>
      <c r="M591" s="100"/>
      <c r="N591" s="100"/>
      <c r="O591" s="100"/>
      <c r="P591" s="100"/>
      <c r="Q591" s="100"/>
      <c r="R591" s="100"/>
      <c r="S591" s="100"/>
      <c r="T591" s="100"/>
      <c r="U591" s="100"/>
      <c r="V591" s="100"/>
      <c r="W591" s="100"/>
      <c r="X591" s="100"/>
      <c r="Y591" s="100"/>
      <c r="Z591" s="100"/>
    </row>
    <row r="592" ht="15.75" customHeight="1" spans="1:26">
      <c r="A592" s="100"/>
      <c r="B592" s="101"/>
      <c r="C592" s="100"/>
      <c r="D592" s="100"/>
      <c r="E592" s="100"/>
      <c r="F592" s="100"/>
      <c r="G592" s="100"/>
      <c r="H592" s="100"/>
      <c r="I592" s="100"/>
      <c r="J592" s="100"/>
      <c r="K592" s="100"/>
      <c r="L592" s="100"/>
      <c r="M592" s="100"/>
      <c r="N592" s="100"/>
      <c r="O592" s="100"/>
      <c r="P592" s="100"/>
      <c r="Q592" s="100"/>
      <c r="R592" s="100"/>
      <c r="S592" s="100"/>
      <c r="T592" s="100"/>
      <c r="U592" s="100"/>
      <c r="V592" s="100"/>
      <c r="W592" s="100"/>
      <c r="X592" s="100"/>
      <c r="Y592" s="100"/>
      <c r="Z592" s="100"/>
    </row>
    <row r="593" ht="15.75" customHeight="1" spans="1:26">
      <c r="A593" s="100"/>
      <c r="B593" s="101"/>
      <c r="C593" s="100"/>
      <c r="D593" s="100"/>
      <c r="E593" s="100"/>
      <c r="F593" s="100"/>
      <c r="G593" s="100"/>
      <c r="H593" s="100"/>
      <c r="I593" s="100"/>
      <c r="J593" s="100"/>
      <c r="K593" s="100"/>
      <c r="L593" s="100"/>
      <c r="M593" s="100"/>
      <c r="N593" s="100"/>
      <c r="O593" s="100"/>
      <c r="P593" s="100"/>
      <c r="Q593" s="100"/>
      <c r="R593" s="100"/>
      <c r="S593" s="100"/>
      <c r="T593" s="100"/>
      <c r="U593" s="100"/>
      <c r="V593" s="100"/>
      <c r="W593" s="100"/>
      <c r="X593" s="100"/>
      <c r="Y593" s="100"/>
      <c r="Z593" s="100"/>
    </row>
    <row r="594" ht="15.75" customHeight="1" spans="1:26">
      <c r="A594" s="100"/>
      <c r="B594" s="101"/>
      <c r="C594" s="100"/>
      <c r="D594" s="100"/>
      <c r="E594" s="100"/>
      <c r="F594" s="100"/>
      <c r="G594" s="100"/>
      <c r="H594" s="100"/>
      <c r="I594" s="100"/>
      <c r="J594" s="100"/>
      <c r="K594" s="100"/>
      <c r="L594" s="100"/>
      <c r="M594" s="100"/>
      <c r="N594" s="100"/>
      <c r="O594" s="100"/>
      <c r="P594" s="100"/>
      <c r="Q594" s="100"/>
      <c r="R594" s="100"/>
      <c r="S594" s="100"/>
      <c r="T594" s="100"/>
      <c r="U594" s="100"/>
      <c r="V594" s="100"/>
      <c r="W594" s="100"/>
      <c r="X594" s="100"/>
      <c r="Y594" s="100"/>
      <c r="Z594" s="100"/>
    </row>
    <row r="595" ht="15.75" customHeight="1" spans="1:26">
      <c r="A595" s="100"/>
      <c r="B595" s="101"/>
      <c r="C595" s="100"/>
      <c r="D595" s="100"/>
      <c r="E595" s="100"/>
      <c r="F595" s="100"/>
      <c r="G595" s="100"/>
      <c r="H595" s="100"/>
      <c r="I595" s="100"/>
      <c r="J595" s="100"/>
      <c r="K595" s="100"/>
      <c r="L595" s="100"/>
      <c r="M595" s="100"/>
      <c r="N595" s="100"/>
      <c r="O595" s="100"/>
      <c r="P595" s="100"/>
      <c r="Q595" s="100"/>
      <c r="R595" s="100"/>
      <c r="S595" s="100"/>
      <c r="T595" s="100"/>
      <c r="U595" s="100"/>
      <c r="V595" s="100"/>
      <c r="W595" s="100"/>
      <c r="X595" s="100"/>
      <c r="Y595" s="100"/>
      <c r="Z595" s="100"/>
    </row>
    <row r="596" ht="15.75" customHeight="1" spans="1:26">
      <c r="A596" s="100"/>
      <c r="B596" s="101"/>
      <c r="C596" s="100"/>
      <c r="D596" s="100"/>
      <c r="E596" s="100"/>
      <c r="F596" s="100"/>
      <c r="G596" s="100"/>
      <c r="H596" s="100"/>
      <c r="I596" s="100"/>
      <c r="J596" s="100"/>
      <c r="K596" s="100"/>
      <c r="L596" s="100"/>
      <c r="M596" s="100"/>
      <c r="N596" s="100"/>
      <c r="O596" s="100"/>
      <c r="P596" s="100"/>
      <c r="Q596" s="100"/>
      <c r="R596" s="100"/>
      <c r="S596" s="100"/>
      <c r="T596" s="100"/>
      <c r="U596" s="100"/>
      <c r="V596" s="100"/>
      <c r="W596" s="100"/>
      <c r="X596" s="100"/>
      <c r="Y596" s="100"/>
      <c r="Z596" s="100"/>
    </row>
    <row r="597" ht="15.75" customHeight="1" spans="1:26">
      <c r="A597" s="100"/>
      <c r="B597" s="101"/>
      <c r="C597" s="100"/>
      <c r="D597" s="100"/>
      <c r="E597" s="100"/>
      <c r="F597" s="100"/>
      <c r="G597" s="100"/>
      <c r="H597" s="100"/>
      <c r="I597" s="100"/>
      <c r="J597" s="100"/>
      <c r="K597" s="100"/>
      <c r="L597" s="100"/>
      <c r="M597" s="100"/>
      <c r="N597" s="100"/>
      <c r="O597" s="100"/>
      <c r="P597" s="100"/>
      <c r="Q597" s="100"/>
      <c r="R597" s="100"/>
      <c r="S597" s="100"/>
      <c r="T597" s="100"/>
      <c r="U597" s="100"/>
      <c r="V597" s="100"/>
      <c r="W597" s="100"/>
      <c r="X597" s="100"/>
      <c r="Y597" s="100"/>
      <c r="Z597" s="100"/>
    </row>
    <row r="598" ht="15.75" customHeight="1" spans="1:26">
      <c r="A598" s="100"/>
      <c r="B598" s="101"/>
      <c r="C598" s="100"/>
      <c r="D598" s="100"/>
      <c r="E598" s="100"/>
      <c r="F598" s="100"/>
      <c r="G598" s="100"/>
      <c r="H598" s="100"/>
      <c r="I598" s="100"/>
      <c r="J598" s="100"/>
      <c r="K598" s="100"/>
      <c r="L598" s="100"/>
      <c r="M598" s="100"/>
      <c r="N598" s="100"/>
      <c r="O598" s="100"/>
      <c r="P598" s="100"/>
      <c r="Q598" s="100"/>
      <c r="R598" s="100"/>
      <c r="S598" s="100"/>
      <c r="T598" s="100"/>
      <c r="U598" s="100"/>
      <c r="V598" s="100"/>
      <c r="W598" s="100"/>
      <c r="X598" s="100"/>
      <c r="Y598" s="100"/>
      <c r="Z598" s="100"/>
    </row>
    <row r="599" ht="15.75" customHeight="1" spans="1:26">
      <c r="A599" s="100"/>
      <c r="B599" s="101"/>
      <c r="C599" s="100"/>
      <c r="D599" s="100"/>
      <c r="E599" s="100"/>
      <c r="F599" s="100"/>
      <c r="G599" s="100"/>
      <c r="H599" s="100"/>
      <c r="I599" s="100"/>
      <c r="J599" s="100"/>
      <c r="K599" s="100"/>
      <c r="L599" s="100"/>
      <c r="M599" s="100"/>
      <c r="N599" s="100"/>
      <c r="O599" s="100"/>
      <c r="P599" s="100"/>
      <c r="Q599" s="100"/>
      <c r="R599" s="100"/>
      <c r="S599" s="100"/>
      <c r="T599" s="100"/>
      <c r="U599" s="100"/>
      <c r="V599" s="100"/>
      <c r="W599" s="100"/>
      <c r="X599" s="100"/>
      <c r="Y599" s="100"/>
      <c r="Z599" s="100"/>
    </row>
    <row r="600" ht="15.75" customHeight="1" spans="1:26">
      <c r="A600" s="100"/>
      <c r="B600" s="101"/>
      <c r="C600" s="100"/>
      <c r="D600" s="100"/>
      <c r="E600" s="100"/>
      <c r="F600" s="100"/>
      <c r="G600" s="100"/>
      <c r="H600" s="100"/>
      <c r="I600" s="100"/>
      <c r="J600" s="100"/>
      <c r="K600" s="100"/>
      <c r="L600" s="100"/>
      <c r="M600" s="100"/>
      <c r="N600" s="100"/>
      <c r="O600" s="100"/>
      <c r="P600" s="100"/>
      <c r="Q600" s="100"/>
      <c r="R600" s="100"/>
      <c r="S600" s="100"/>
      <c r="T600" s="100"/>
      <c r="U600" s="100"/>
      <c r="V600" s="100"/>
      <c r="W600" s="100"/>
      <c r="X600" s="100"/>
      <c r="Y600" s="100"/>
      <c r="Z600" s="100"/>
    </row>
    <row r="601" ht="15.75" customHeight="1" spans="1:26">
      <c r="A601" s="100"/>
      <c r="B601" s="101"/>
      <c r="C601" s="100"/>
      <c r="D601" s="100"/>
      <c r="E601" s="100"/>
      <c r="F601" s="100"/>
      <c r="G601" s="100"/>
      <c r="H601" s="100"/>
      <c r="I601" s="100"/>
      <c r="J601" s="100"/>
      <c r="K601" s="100"/>
      <c r="L601" s="100"/>
      <c r="M601" s="100"/>
      <c r="N601" s="100"/>
      <c r="O601" s="100"/>
      <c r="P601" s="100"/>
      <c r="Q601" s="100"/>
      <c r="R601" s="100"/>
      <c r="S601" s="100"/>
      <c r="T601" s="100"/>
      <c r="U601" s="100"/>
      <c r="V601" s="100"/>
      <c r="W601" s="100"/>
      <c r="X601" s="100"/>
      <c r="Y601" s="100"/>
      <c r="Z601" s="100"/>
    </row>
    <row r="602" ht="15.75" customHeight="1" spans="1:26">
      <c r="A602" s="100"/>
      <c r="B602" s="101"/>
      <c r="C602" s="100"/>
      <c r="D602" s="100"/>
      <c r="E602" s="100"/>
      <c r="F602" s="100"/>
      <c r="G602" s="100"/>
      <c r="H602" s="100"/>
      <c r="I602" s="100"/>
      <c r="J602" s="100"/>
      <c r="K602" s="100"/>
      <c r="L602" s="100"/>
      <c r="M602" s="100"/>
      <c r="N602" s="100"/>
      <c r="O602" s="100"/>
      <c r="P602" s="100"/>
      <c r="Q602" s="100"/>
      <c r="R602" s="100"/>
      <c r="S602" s="100"/>
      <c r="T602" s="100"/>
      <c r="U602" s="100"/>
      <c r="V602" s="100"/>
      <c r="W602" s="100"/>
      <c r="X602" s="100"/>
      <c r="Y602" s="100"/>
      <c r="Z602" s="100"/>
    </row>
    <row r="603" ht="15.75" customHeight="1" spans="1:26">
      <c r="A603" s="100"/>
      <c r="B603" s="101"/>
      <c r="C603" s="100"/>
      <c r="D603" s="100"/>
      <c r="E603" s="100"/>
      <c r="F603" s="100"/>
      <c r="G603" s="100"/>
      <c r="H603" s="100"/>
      <c r="I603" s="100"/>
      <c r="J603" s="100"/>
      <c r="K603" s="100"/>
      <c r="L603" s="100"/>
      <c r="M603" s="100"/>
      <c r="N603" s="100"/>
      <c r="O603" s="100"/>
      <c r="P603" s="100"/>
      <c r="Q603" s="100"/>
      <c r="R603" s="100"/>
      <c r="S603" s="100"/>
      <c r="T603" s="100"/>
      <c r="U603" s="100"/>
      <c r="V603" s="100"/>
      <c r="W603" s="100"/>
      <c r="X603" s="100"/>
      <c r="Y603" s="100"/>
      <c r="Z603" s="100"/>
    </row>
    <row r="604" ht="15.75" customHeight="1" spans="1:26">
      <c r="A604" s="100"/>
      <c r="B604" s="101"/>
      <c r="C604" s="100"/>
      <c r="D604" s="100"/>
      <c r="E604" s="100"/>
      <c r="F604" s="100"/>
      <c r="G604" s="100"/>
      <c r="H604" s="100"/>
      <c r="I604" s="100"/>
      <c r="J604" s="100"/>
      <c r="K604" s="100"/>
      <c r="L604" s="100"/>
      <c r="M604" s="100"/>
      <c r="N604" s="100"/>
      <c r="O604" s="100"/>
      <c r="P604" s="100"/>
      <c r="Q604" s="100"/>
      <c r="R604" s="100"/>
      <c r="S604" s="100"/>
      <c r="T604" s="100"/>
      <c r="U604" s="100"/>
      <c r="V604" s="100"/>
      <c r="W604" s="100"/>
      <c r="X604" s="100"/>
      <c r="Y604" s="100"/>
      <c r="Z604" s="100"/>
    </row>
    <row r="605" ht="15.75" customHeight="1" spans="1:26">
      <c r="A605" s="100"/>
      <c r="B605" s="101"/>
      <c r="C605" s="100"/>
      <c r="D605" s="100"/>
      <c r="E605" s="100"/>
      <c r="F605" s="100"/>
      <c r="G605" s="100"/>
      <c r="H605" s="100"/>
      <c r="I605" s="100"/>
      <c r="J605" s="100"/>
      <c r="K605" s="100"/>
      <c r="L605" s="100"/>
      <c r="M605" s="100"/>
      <c r="N605" s="100"/>
      <c r="O605" s="100"/>
      <c r="P605" s="100"/>
      <c r="Q605" s="100"/>
      <c r="R605" s="100"/>
      <c r="S605" s="100"/>
      <c r="T605" s="100"/>
      <c r="U605" s="100"/>
      <c r="V605" s="100"/>
      <c r="W605" s="100"/>
      <c r="X605" s="100"/>
      <c r="Y605" s="100"/>
      <c r="Z605" s="100"/>
    </row>
    <row r="606" ht="15.75" customHeight="1" spans="1:26">
      <c r="A606" s="100"/>
      <c r="B606" s="101"/>
      <c r="C606" s="100"/>
      <c r="D606" s="100"/>
      <c r="E606" s="100"/>
      <c r="F606" s="100"/>
      <c r="G606" s="100"/>
      <c r="H606" s="100"/>
      <c r="I606" s="100"/>
      <c r="J606" s="100"/>
      <c r="K606" s="100"/>
      <c r="L606" s="100"/>
      <c r="M606" s="100"/>
      <c r="N606" s="100"/>
      <c r="O606" s="100"/>
      <c r="P606" s="100"/>
      <c r="Q606" s="100"/>
      <c r="R606" s="100"/>
      <c r="S606" s="100"/>
      <c r="T606" s="100"/>
      <c r="U606" s="100"/>
      <c r="V606" s="100"/>
      <c r="W606" s="100"/>
      <c r="X606" s="100"/>
      <c r="Y606" s="100"/>
      <c r="Z606" s="100"/>
    </row>
    <row r="607" ht="15.75" customHeight="1" spans="1:26">
      <c r="A607" s="100"/>
      <c r="B607" s="101"/>
      <c r="C607" s="100"/>
      <c r="D607" s="100"/>
      <c r="E607" s="100"/>
      <c r="F607" s="100"/>
      <c r="G607" s="100"/>
      <c r="H607" s="100"/>
      <c r="I607" s="100"/>
      <c r="J607" s="100"/>
      <c r="K607" s="100"/>
      <c r="L607" s="100"/>
      <c r="M607" s="100"/>
      <c r="N607" s="100"/>
      <c r="O607" s="100"/>
      <c r="P607" s="100"/>
      <c r="Q607" s="100"/>
      <c r="R607" s="100"/>
      <c r="S607" s="100"/>
      <c r="T607" s="100"/>
      <c r="U607" s="100"/>
      <c r="V607" s="100"/>
      <c r="W607" s="100"/>
      <c r="X607" s="100"/>
      <c r="Y607" s="100"/>
      <c r="Z607" s="100"/>
    </row>
    <row r="608" ht="15.75" customHeight="1" spans="1:26">
      <c r="A608" s="100"/>
      <c r="B608" s="101"/>
      <c r="C608" s="100"/>
      <c r="D608" s="100"/>
      <c r="E608" s="100"/>
      <c r="F608" s="100"/>
      <c r="G608" s="100"/>
      <c r="H608" s="100"/>
      <c r="I608" s="100"/>
      <c r="J608" s="100"/>
      <c r="K608" s="100"/>
      <c r="L608" s="100"/>
      <c r="M608" s="100"/>
      <c r="N608" s="100"/>
      <c r="O608" s="100"/>
      <c r="P608" s="100"/>
      <c r="Q608" s="100"/>
      <c r="R608" s="100"/>
      <c r="S608" s="100"/>
      <c r="T608" s="100"/>
      <c r="U608" s="100"/>
      <c r="V608" s="100"/>
      <c r="W608" s="100"/>
      <c r="X608" s="100"/>
      <c r="Y608" s="100"/>
      <c r="Z608" s="100"/>
    </row>
    <row r="609" ht="15.75" customHeight="1" spans="1:26">
      <c r="A609" s="100"/>
      <c r="B609" s="101"/>
      <c r="C609" s="100"/>
      <c r="D609" s="100"/>
      <c r="E609" s="100"/>
      <c r="F609" s="100"/>
      <c r="G609" s="100"/>
      <c r="H609" s="100"/>
      <c r="I609" s="100"/>
      <c r="J609" s="100"/>
      <c r="K609" s="100"/>
      <c r="L609" s="100"/>
      <c r="M609" s="100"/>
      <c r="N609" s="100"/>
      <c r="O609" s="100"/>
      <c r="P609" s="100"/>
      <c r="Q609" s="100"/>
      <c r="R609" s="100"/>
      <c r="S609" s="100"/>
      <c r="T609" s="100"/>
      <c r="U609" s="100"/>
      <c r="V609" s="100"/>
      <c r="W609" s="100"/>
      <c r="X609" s="100"/>
      <c r="Y609" s="100"/>
      <c r="Z609" s="100"/>
    </row>
    <row r="610" ht="15.75" customHeight="1" spans="1:26">
      <c r="A610" s="100"/>
      <c r="B610" s="101"/>
      <c r="C610" s="100"/>
      <c r="D610" s="100"/>
      <c r="E610" s="100"/>
      <c r="F610" s="100"/>
      <c r="G610" s="100"/>
      <c r="H610" s="100"/>
      <c r="I610" s="100"/>
      <c r="J610" s="100"/>
      <c r="K610" s="100"/>
      <c r="L610" s="100"/>
      <c r="M610" s="100"/>
      <c r="N610" s="100"/>
      <c r="O610" s="100"/>
      <c r="P610" s="100"/>
      <c r="Q610" s="100"/>
      <c r="R610" s="100"/>
      <c r="S610" s="100"/>
      <c r="T610" s="100"/>
      <c r="U610" s="100"/>
      <c r="V610" s="100"/>
      <c r="W610" s="100"/>
      <c r="X610" s="100"/>
      <c r="Y610" s="100"/>
      <c r="Z610" s="100"/>
    </row>
    <row r="611" ht="15.75" customHeight="1" spans="1:26">
      <c r="A611" s="100"/>
      <c r="B611" s="101"/>
      <c r="C611" s="100"/>
      <c r="D611" s="100"/>
      <c r="E611" s="100"/>
      <c r="F611" s="100"/>
      <c r="G611" s="100"/>
      <c r="H611" s="100"/>
      <c r="I611" s="100"/>
      <c r="J611" s="100"/>
      <c r="K611" s="100"/>
      <c r="L611" s="100"/>
      <c r="M611" s="100"/>
      <c r="N611" s="100"/>
      <c r="O611" s="100"/>
      <c r="P611" s="100"/>
      <c r="Q611" s="100"/>
      <c r="R611" s="100"/>
      <c r="S611" s="100"/>
      <c r="T611" s="100"/>
      <c r="U611" s="100"/>
      <c r="V611" s="100"/>
      <c r="W611" s="100"/>
      <c r="X611" s="100"/>
      <c r="Y611" s="100"/>
      <c r="Z611" s="100"/>
    </row>
    <row r="612" ht="15.75" customHeight="1" spans="1:26">
      <c r="A612" s="100"/>
      <c r="B612" s="101"/>
      <c r="C612" s="100"/>
      <c r="D612" s="100"/>
      <c r="E612" s="100"/>
      <c r="F612" s="100"/>
      <c r="G612" s="100"/>
      <c r="H612" s="100"/>
      <c r="I612" s="100"/>
      <c r="J612" s="100"/>
      <c r="K612" s="100"/>
      <c r="L612" s="100"/>
      <c r="M612" s="100"/>
      <c r="N612" s="100"/>
      <c r="O612" s="100"/>
      <c r="P612" s="100"/>
      <c r="Q612" s="100"/>
      <c r="R612" s="100"/>
      <c r="S612" s="100"/>
      <c r="T612" s="100"/>
      <c r="U612" s="100"/>
      <c r="V612" s="100"/>
      <c r="W612" s="100"/>
      <c r="X612" s="100"/>
      <c r="Y612" s="100"/>
      <c r="Z612" s="100"/>
    </row>
    <row r="613" ht="15.75" customHeight="1" spans="1:26">
      <c r="A613" s="100"/>
      <c r="B613" s="101"/>
      <c r="C613" s="100"/>
      <c r="D613" s="100"/>
      <c r="E613" s="100"/>
      <c r="F613" s="100"/>
      <c r="G613" s="100"/>
      <c r="H613" s="100"/>
      <c r="I613" s="100"/>
      <c r="J613" s="100"/>
      <c r="K613" s="100"/>
      <c r="L613" s="100"/>
      <c r="M613" s="100"/>
      <c r="N613" s="100"/>
      <c r="O613" s="100"/>
      <c r="P613" s="100"/>
      <c r="Q613" s="100"/>
      <c r="R613" s="100"/>
      <c r="S613" s="100"/>
      <c r="T613" s="100"/>
      <c r="U613" s="100"/>
      <c r="V613" s="100"/>
      <c r="W613" s="100"/>
      <c r="X613" s="100"/>
      <c r="Y613" s="100"/>
      <c r="Z613" s="100"/>
    </row>
    <row r="614" ht="15.75" customHeight="1" spans="1:26">
      <c r="A614" s="100"/>
      <c r="B614" s="101"/>
      <c r="C614" s="100"/>
      <c r="D614" s="100"/>
      <c r="E614" s="100"/>
      <c r="F614" s="100"/>
      <c r="G614" s="100"/>
      <c r="H614" s="100"/>
      <c r="I614" s="100"/>
      <c r="J614" s="100"/>
      <c r="K614" s="100"/>
      <c r="L614" s="100"/>
      <c r="M614" s="100"/>
      <c r="N614" s="100"/>
      <c r="O614" s="100"/>
      <c r="P614" s="100"/>
      <c r="Q614" s="100"/>
      <c r="R614" s="100"/>
      <c r="S614" s="100"/>
      <c r="T614" s="100"/>
      <c r="U614" s="100"/>
      <c r="V614" s="100"/>
      <c r="W614" s="100"/>
      <c r="X614" s="100"/>
      <c r="Y614" s="100"/>
      <c r="Z614" s="100"/>
    </row>
    <row r="615" ht="15.75" customHeight="1" spans="1:26">
      <c r="A615" s="100"/>
      <c r="B615" s="101"/>
      <c r="C615" s="100"/>
      <c r="D615" s="100"/>
      <c r="E615" s="100"/>
      <c r="F615" s="100"/>
      <c r="G615" s="100"/>
      <c r="H615" s="100"/>
      <c r="I615" s="100"/>
      <c r="J615" s="100"/>
      <c r="K615" s="100"/>
      <c r="L615" s="100"/>
      <c r="M615" s="100"/>
      <c r="N615" s="100"/>
      <c r="O615" s="100"/>
      <c r="P615" s="100"/>
      <c r="Q615" s="100"/>
      <c r="R615" s="100"/>
      <c r="S615" s="100"/>
      <c r="T615" s="100"/>
      <c r="U615" s="100"/>
      <c r="V615" s="100"/>
      <c r="W615" s="100"/>
      <c r="X615" s="100"/>
      <c r="Y615" s="100"/>
      <c r="Z615" s="100"/>
    </row>
    <row r="616" ht="15.75" customHeight="1" spans="1:26">
      <c r="A616" s="100"/>
      <c r="B616" s="101"/>
      <c r="C616" s="100"/>
      <c r="D616" s="100"/>
      <c r="E616" s="100"/>
      <c r="F616" s="100"/>
      <c r="G616" s="100"/>
      <c r="H616" s="100"/>
      <c r="I616" s="100"/>
      <c r="J616" s="100"/>
      <c r="K616" s="100"/>
      <c r="L616" s="100"/>
      <c r="M616" s="100"/>
      <c r="N616" s="100"/>
      <c r="O616" s="100"/>
      <c r="P616" s="100"/>
      <c r="Q616" s="100"/>
      <c r="R616" s="100"/>
      <c r="S616" s="100"/>
      <c r="T616" s="100"/>
      <c r="U616" s="100"/>
      <c r="V616" s="100"/>
      <c r="W616" s="100"/>
      <c r="X616" s="100"/>
      <c r="Y616" s="100"/>
      <c r="Z616" s="100"/>
    </row>
    <row r="617" ht="15.75" customHeight="1" spans="1:26">
      <c r="A617" s="100"/>
      <c r="B617" s="101"/>
      <c r="C617" s="100"/>
      <c r="D617" s="100"/>
      <c r="E617" s="100"/>
      <c r="F617" s="100"/>
      <c r="G617" s="100"/>
      <c r="H617" s="100"/>
      <c r="I617" s="100"/>
      <c r="J617" s="100"/>
      <c r="K617" s="100"/>
      <c r="L617" s="100"/>
      <c r="M617" s="100"/>
      <c r="N617" s="100"/>
      <c r="O617" s="100"/>
      <c r="P617" s="100"/>
      <c r="Q617" s="100"/>
      <c r="R617" s="100"/>
      <c r="S617" s="100"/>
      <c r="T617" s="100"/>
      <c r="U617" s="100"/>
      <c r="V617" s="100"/>
      <c r="W617" s="100"/>
      <c r="X617" s="100"/>
      <c r="Y617" s="100"/>
      <c r="Z617" s="100"/>
    </row>
    <row r="618" ht="15.75" customHeight="1" spans="1:26">
      <c r="A618" s="100"/>
      <c r="B618" s="101"/>
      <c r="C618" s="100"/>
      <c r="D618" s="100"/>
      <c r="E618" s="100"/>
      <c r="F618" s="100"/>
      <c r="G618" s="100"/>
      <c r="H618" s="100"/>
      <c r="I618" s="100"/>
      <c r="J618" s="100"/>
      <c r="K618" s="100"/>
      <c r="L618" s="100"/>
      <c r="M618" s="100"/>
      <c r="N618" s="100"/>
      <c r="O618" s="100"/>
      <c r="P618" s="100"/>
      <c r="Q618" s="100"/>
      <c r="R618" s="100"/>
      <c r="S618" s="100"/>
      <c r="T618" s="100"/>
      <c r="U618" s="100"/>
      <c r="V618" s="100"/>
      <c r="W618" s="100"/>
      <c r="X618" s="100"/>
      <c r="Y618" s="100"/>
      <c r="Z618" s="100"/>
    </row>
    <row r="619" ht="15.75" customHeight="1" spans="1:26">
      <c r="A619" s="100"/>
      <c r="B619" s="101"/>
      <c r="C619" s="100"/>
      <c r="D619" s="100"/>
      <c r="E619" s="100"/>
      <c r="F619" s="100"/>
      <c r="G619" s="100"/>
      <c r="H619" s="100"/>
      <c r="I619" s="100"/>
      <c r="J619" s="100"/>
      <c r="K619" s="100"/>
      <c r="L619" s="100"/>
      <c r="M619" s="100"/>
      <c r="N619" s="100"/>
      <c r="O619" s="100"/>
      <c r="P619" s="100"/>
      <c r="Q619" s="100"/>
      <c r="R619" s="100"/>
      <c r="S619" s="100"/>
      <c r="T619" s="100"/>
      <c r="U619" s="100"/>
      <c r="V619" s="100"/>
      <c r="W619" s="100"/>
      <c r="X619" s="100"/>
      <c r="Y619" s="100"/>
      <c r="Z619" s="100"/>
    </row>
    <row r="620" ht="15.75" customHeight="1" spans="1:26">
      <c r="A620" s="100"/>
      <c r="B620" s="101"/>
      <c r="C620" s="100"/>
      <c r="D620" s="100"/>
      <c r="E620" s="100"/>
      <c r="F620" s="100"/>
      <c r="G620" s="100"/>
      <c r="H620" s="100"/>
      <c r="I620" s="100"/>
      <c r="J620" s="100"/>
      <c r="K620" s="100"/>
      <c r="L620" s="100"/>
      <c r="M620" s="100"/>
      <c r="N620" s="100"/>
      <c r="O620" s="100"/>
      <c r="P620" s="100"/>
      <c r="Q620" s="100"/>
      <c r="R620" s="100"/>
      <c r="S620" s="100"/>
      <c r="T620" s="100"/>
      <c r="U620" s="100"/>
      <c r="V620" s="100"/>
      <c r="W620" s="100"/>
      <c r="X620" s="100"/>
      <c r="Y620" s="100"/>
      <c r="Z620" s="100"/>
    </row>
    <row r="621" ht="15.75" customHeight="1" spans="1:26">
      <c r="A621" s="100"/>
      <c r="B621" s="101"/>
      <c r="C621" s="100"/>
      <c r="D621" s="100"/>
      <c r="E621" s="100"/>
      <c r="F621" s="100"/>
      <c r="G621" s="100"/>
      <c r="H621" s="100"/>
      <c r="I621" s="100"/>
      <c r="J621" s="100"/>
      <c r="K621" s="100"/>
      <c r="L621" s="100"/>
      <c r="M621" s="100"/>
      <c r="N621" s="100"/>
      <c r="O621" s="100"/>
      <c r="P621" s="100"/>
      <c r="Q621" s="100"/>
      <c r="R621" s="100"/>
      <c r="S621" s="100"/>
      <c r="T621" s="100"/>
      <c r="U621" s="100"/>
      <c r="V621" s="100"/>
      <c r="W621" s="100"/>
      <c r="X621" s="100"/>
      <c r="Y621" s="100"/>
      <c r="Z621" s="100"/>
    </row>
    <row r="622" ht="15.75" customHeight="1" spans="1:26">
      <c r="A622" s="100"/>
      <c r="B622" s="101"/>
      <c r="C622" s="100"/>
      <c r="D622" s="100"/>
      <c r="E622" s="100"/>
      <c r="F622" s="100"/>
      <c r="G622" s="100"/>
      <c r="H622" s="100"/>
      <c r="I622" s="100"/>
      <c r="J622" s="100"/>
      <c r="K622" s="100"/>
      <c r="L622" s="100"/>
      <c r="M622" s="100"/>
      <c r="N622" s="100"/>
      <c r="O622" s="100"/>
      <c r="P622" s="100"/>
      <c r="Q622" s="100"/>
      <c r="R622" s="100"/>
      <c r="S622" s="100"/>
      <c r="T622" s="100"/>
      <c r="U622" s="100"/>
      <c r="V622" s="100"/>
      <c r="W622" s="100"/>
      <c r="X622" s="100"/>
      <c r="Y622" s="100"/>
      <c r="Z622" s="100"/>
    </row>
    <row r="623" ht="15.75" customHeight="1" spans="1:26">
      <c r="A623" s="100"/>
      <c r="B623" s="101"/>
      <c r="C623" s="100"/>
      <c r="D623" s="100"/>
      <c r="E623" s="100"/>
      <c r="F623" s="100"/>
      <c r="G623" s="100"/>
      <c r="H623" s="100"/>
      <c r="I623" s="100"/>
      <c r="J623" s="100"/>
      <c r="K623" s="100"/>
      <c r="L623" s="100"/>
      <c r="M623" s="100"/>
      <c r="N623" s="100"/>
      <c r="O623" s="100"/>
      <c r="P623" s="100"/>
      <c r="Q623" s="100"/>
      <c r="R623" s="100"/>
      <c r="S623" s="100"/>
      <c r="T623" s="100"/>
      <c r="U623" s="100"/>
      <c r="V623" s="100"/>
      <c r="W623" s="100"/>
      <c r="X623" s="100"/>
      <c r="Y623" s="100"/>
      <c r="Z623" s="100"/>
    </row>
    <row r="624" ht="15.75" customHeight="1" spans="1:26">
      <c r="A624" s="100"/>
      <c r="B624" s="101"/>
      <c r="C624" s="100"/>
      <c r="D624" s="100"/>
      <c r="E624" s="100"/>
      <c r="F624" s="100"/>
      <c r="G624" s="100"/>
      <c r="H624" s="100"/>
      <c r="I624" s="100"/>
      <c r="J624" s="100"/>
      <c r="K624" s="100"/>
      <c r="L624" s="100"/>
      <c r="M624" s="100"/>
      <c r="N624" s="100"/>
      <c r="O624" s="100"/>
      <c r="P624" s="100"/>
      <c r="Q624" s="100"/>
      <c r="R624" s="100"/>
      <c r="S624" s="100"/>
      <c r="T624" s="100"/>
      <c r="U624" s="100"/>
      <c r="V624" s="100"/>
      <c r="W624" s="100"/>
      <c r="X624" s="100"/>
      <c r="Y624" s="100"/>
      <c r="Z624" s="100"/>
    </row>
    <row r="625" ht="15.75" customHeight="1" spans="1:26">
      <c r="A625" s="100"/>
      <c r="B625" s="101"/>
      <c r="C625" s="100"/>
      <c r="D625" s="100"/>
      <c r="E625" s="100"/>
      <c r="F625" s="100"/>
      <c r="G625" s="100"/>
      <c r="H625" s="100"/>
      <c r="I625" s="100"/>
      <c r="J625" s="100"/>
      <c r="K625" s="100"/>
      <c r="L625" s="100"/>
      <c r="M625" s="100"/>
      <c r="N625" s="100"/>
      <c r="O625" s="100"/>
      <c r="P625" s="100"/>
      <c r="Q625" s="100"/>
      <c r="R625" s="100"/>
      <c r="S625" s="100"/>
      <c r="T625" s="100"/>
      <c r="U625" s="100"/>
      <c r="V625" s="100"/>
      <c r="W625" s="100"/>
      <c r="X625" s="100"/>
      <c r="Y625" s="100"/>
      <c r="Z625" s="100"/>
    </row>
    <row r="626" ht="15.75" customHeight="1" spans="1:26">
      <c r="A626" s="100"/>
      <c r="B626" s="101"/>
      <c r="C626" s="100"/>
      <c r="D626" s="100"/>
      <c r="E626" s="100"/>
      <c r="F626" s="100"/>
      <c r="G626" s="100"/>
      <c r="H626" s="100"/>
      <c r="I626" s="100"/>
      <c r="J626" s="100"/>
      <c r="K626" s="100"/>
      <c r="L626" s="100"/>
      <c r="M626" s="100"/>
      <c r="N626" s="100"/>
      <c r="O626" s="100"/>
      <c r="P626" s="100"/>
      <c r="Q626" s="100"/>
      <c r="R626" s="100"/>
      <c r="S626" s="100"/>
      <c r="T626" s="100"/>
      <c r="U626" s="100"/>
      <c r="V626" s="100"/>
      <c r="W626" s="100"/>
      <c r="X626" s="100"/>
      <c r="Y626" s="100"/>
      <c r="Z626" s="100"/>
    </row>
    <row r="627" ht="15.75" customHeight="1" spans="1:26">
      <c r="A627" s="100"/>
      <c r="B627" s="101"/>
      <c r="C627" s="100"/>
      <c r="D627" s="100"/>
      <c r="E627" s="100"/>
      <c r="F627" s="100"/>
      <c r="G627" s="100"/>
      <c r="H627" s="100"/>
      <c r="I627" s="100"/>
      <c r="J627" s="100"/>
      <c r="K627" s="100"/>
      <c r="L627" s="100"/>
      <c r="M627" s="100"/>
      <c r="N627" s="100"/>
      <c r="O627" s="100"/>
      <c r="P627" s="100"/>
      <c r="Q627" s="100"/>
      <c r="R627" s="100"/>
      <c r="S627" s="100"/>
      <c r="T627" s="100"/>
      <c r="U627" s="100"/>
      <c r="V627" s="100"/>
      <c r="W627" s="100"/>
      <c r="X627" s="100"/>
      <c r="Y627" s="100"/>
      <c r="Z627" s="100"/>
    </row>
    <row r="628" ht="15.75" customHeight="1" spans="1:26">
      <c r="A628" s="100"/>
      <c r="B628" s="101"/>
      <c r="C628" s="100"/>
      <c r="D628" s="100"/>
      <c r="E628" s="100"/>
      <c r="F628" s="100"/>
      <c r="G628" s="100"/>
      <c r="H628" s="100"/>
      <c r="I628" s="100"/>
      <c r="J628" s="100"/>
      <c r="K628" s="100"/>
      <c r="L628" s="100"/>
      <c r="M628" s="100"/>
      <c r="N628" s="100"/>
      <c r="O628" s="100"/>
      <c r="P628" s="100"/>
      <c r="Q628" s="100"/>
      <c r="R628" s="100"/>
      <c r="S628" s="100"/>
      <c r="T628" s="100"/>
      <c r="U628" s="100"/>
      <c r="V628" s="100"/>
      <c r="W628" s="100"/>
      <c r="X628" s="100"/>
      <c r="Y628" s="100"/>
      <c r="Z628" s="100"/>
    </row>
    <row r="629" ht="15.75" customHeight="1" spans="1:26">
      <c r="A629" s="100"/>
      <c r="B629" s="101"/>
      <c r="C629" s="100"/>
      <c r="D629" s="100"/>
      <c r="E629" s="100"/>
      <c r="F629" s="100"/>
      <c r="G629" s="100"/>
      <c r="H629" s="100"/>
      <c r="I629" s="100"/>
      <c r="J629" s="100"/>
      <c r="K629" s="100"/>
      <c r="L629" s="100"/>
      <c r="M629" s="100"/>
      <c r="N629" s="100"/>
      <c r="O629" s="100"/>
      <c r="P629" s="100"/>
      <c r="Q629" s="100"/>
      <c r="R629" s="100"/>
      <c r="S629" s="100"/>
      <c r="T629" s="100"/>
      <c r="U629" s="100"/>
      <c r="V629" s="100"/>
      <c r="W629" s="100"/>
      <c r="X629" s="100"/>
      <c r="Y629" s="100"/>
      <c r="Z629" s="100"/>
    </row>
    <row r="630" ht="15.75" customHeight="1" spans="1:26">
      <c r="A630" s="100"/>
      <c r="B630" s="101"/>
      <c r="C630" s="100"/>
      <c r="D630" s="100"/>
      <c r="E630" s="100"/>
      <c r="F630" s="100"/>
      <c r="G630" s="100"/>
      <c r="H630" s="100"/>
      <c r="I630" s="100"/>
      <c r="J630" s="100"/>
      <c r="K630" s="100"/>
      <c r="L630" s="100"/>
      <c r="M630" s="100"/>
      <c r="N630" s="100"/>
      <c r="O630" s="100"/>
      <c r="P630" s="100"/>
      <c r="Q630" s="100"/>
      <c r="R630" s="100"/>
      <c r="S630" s="100"/>
      <c r="T630" s="100"/>
      <c r="U630" s="100"/>
      <c r="V630" s="100"/>
      <c r="W630" s="100"/>
      <c r="X630" s="100"/>
      <c r="Y630" s="100"/>
      <c r="Z630" s="100"/>
    </row>
    <row r="631" ht="15.75" customHeight="1" spans="1:26">
      <c r="A631" s="100"/>
      <c r="B631" s="101"/>
      <c r="C631" s="100"/>
      <c r="D631" s="100"/>
      <c r="E631" s="100"/>
      <c r="F631" s="100"/>
      <c r="G631" s="100"/>
      <c r="H631" s="100"/>
      <c r="I631" s="100"/>
      <c r="J631" s="100"/>
      <c r="K631" s="100"/>
      <c r="L631" s="100"/>
      <c r="M631" s="100"/>
      <c r="N631" s="100"/>
      <c r="O631" s="100"/>
      <c r="P631" s="100"/>
      <c r="Q631" s="100"/>
      <c r="R631" s="100"/>
      <c r="S631" s="100"/>
      <c r="T631" s="100"/>
      <c r="U631" s="100"/>
      <c r="V631" s="100"/>
      <c r="W631" s="100"/>
      <c r="X631" s="100"/>
      <c r="Y631" s="100"/>
      <c r="Z631" s="100"/>
    </row>
    <row r="632" ht="15.75" customHeight="1" spans="1:26">
      <c r="A632" s="100"/>
      <c r="B632" s="101"/>
      <c r="C632" s="100"/>
      <c r="D632" s="100"/>
      <c r="E632" s="100"/>
      <c r="F632" s="100"/>
      <c r="G632" s="100"/>
      <c r="H632" s="100"/>
      <c r="I632" s="100"/>
      <c r="J632" s="100"/>
      <c r="K632" s="100"/>
      <c r="L632" s="100"/>
      <c r="M632" s="100"/>
      <c r="N632" s="100"/>
      <c r="O632" s="100"/>
      <c r="P632" s="100"/>
      <c r="Q632" s="100"/>
      <c r="R632" s="100"/>
      <c r="S632" s="100"/>
      <c r="T632" s="100"/>
      <c r="U632" s="100"/>
      <c r="V632" s="100"/>
      <c r="W632" s="100"/>
      <c r="X632" s="100"/>
      <c r="Y632" s="100"/>
      <c r="Z632" s="100"/>
    </row>
    <row r="633" ht="15.75" customHeight="1" spans="1:26">
      <c r="A633" s="100"/>
      <c r="B633" s="101"/>
      <c r="C633" s="100"/>
      <c r="D633" s="100"/>
      <c r="E633" s="100"/>
      <c r="F633" s="100"/>
      <c r="G633" s="100"/>
      <c r="H633" s="100"/>
      <c r="I633" s="100"/>
      <c r="J633" s="100"/>
      <c r="K633" s="100"/>
      <c r="L633" s="100"/>
      <c r="M633" s="100"/>
      <c r="N633" s="100"/>
      <c r="O633" s="100"/>
      <c r="P633" s="100"/>
      <c r="Q633" s="100"/>
      <c r="R633" s="100"/>
      <c r="S633" s="100"/>
      <c r="T633" s="100"/>
      <c r="U633" s="100"/>
      <c r="V633" s="100"/>
      <c r="W633" s="100"/>
      <c r="X633" s="100"/>
      <c r="Y633" s="100"/>
      <c r="Z633" s="100"/>
    </row>
    <row r="634" ht="15.75" customHeight="1" spans="1:26">
      <c r="A634" s="100"/>
      <c r="B634" s="101"/>
      <c r="C634" s="100"/>
      <c r="D634" s="100"/>
      <c r="E634" s="100"/>
      <c r="F634" s="100"/>
      <c r="G634" s="100"/>
      <c r="H634" s="100"/>
      <c r="I634" s="100"/>
      <c r="J634" s="100"/>
      <c r="K634" s="100"/>
      <c r="L634" s="100"/>
      <c r="M634" s="100"/>
      <c r="N634" s="100"/>
      <c r="O634" s="100"/>
      <c r="P634" s="100"/>
      <c r="Q634" s="100"/>
      <c r="R634" s="100"/>
      <c r="S634" s="100"/>
      <c r="T634" s="100"/>
      <c r="U634" s="100"/>
      <c r="V634" s="100"/>
      <c r="W634" s="100"/>
      <c r="X634" s="100"/>
      <c r="Y634" s="100"/>
      <c r="Z634" s="100"/>
    </row>
    <row r="635" ht="15.75" customHeight="1" spans="1:26">
      <c r="A635" s="100"/>
      <c r="B635" s="101"/>
      <c r="C635" s="100"/>
      <c r="D635" s="100"/>
      <c r="E635" s="100"/>
      <c r="F635" s="100"/>
      <c r="G635" s="100"/>
      <c r="H635" s="100"/>
      <c r="I635" s="100"/>
      <c r="J635" s="100"/>
      <c r="K635" s="100"/>
      <c r="L635" s="100"/>
      <c r="M635" s="100"/>
      <c r="N635" s="100"/>
      <c r="O635" s="100"/>
      <c r="P635" s="100"/>
      <c r="Q635" s="100"/>
      <c r="R635" s="100"/>
      <c r="S635" s="100"/>
      <c r="T635" s="100"/>
      <c r="U635" s="100"/>
      <c r="V635" s="100"/>
      <c r="W635" s="100"/>
      <c r="X635" s="100"/>
      <c r="Y635" s="100"/>
      <c r="Z635" s="100"/>
    </row>
    <row r="636" ht="15.75" customHeight="1" spans="1:26">
      <c r="A636" s="100"/>
      <c r="B636" s="101"/>
      <c r="C636" s="100"/>
      <c r="D636" s="100"/>
      <c r="E636" s="100"/>
      <c r="F636" s="100"/>
      <c r="G636" s="100"/>
      <c r="H636" s="100"/>
      <c r="I636" s="100"/>
      <c r="J636" s="100"/>
      <c r="K636" s="100"/>
      <c r="L636" s="100"/>
      <c r="M636" s="100"/>
      <c r="N636" s="100"/>
      <c r="O636" s="100"/>
      <c r="P636" s="100"/>
      <c r="Q636" s="100"/>
      <c r="R636" s="100"/>
      <c r="S636" s="100"/>
      <c r="T636" s="100"/>
      <c r="U636" s="100"/>
      <c r="V636" s="100"/>
      <c r="W636" s="100"/>
      <c r="X636" s="100"/>
      <c r="Y636" s="100"/>
      <c r="Z636" s="100"/>
    </row>
    <row r="637" ht="15.75" customHeight="1" spans="1:26">
      <c r="A637" s="100"/>
      <c r="B637" s="101"/>
      <c r="C637" s="100"/>
      <c r="D637" s="100"/>
      <c r="E637" s="100"/>
      <c r="F637" s="100"/>
      <c r="G637" s="100"/>
      <c r="H637" s="100"/>
      <c r="I637" s="100"/>
      <c r="J637" s="100"/>
      <c r="K637" s="100"/>
      <c r="L637" s="100"/>
      <c r="M637" s="100"/>
      <c r="N637" s="100"/>
      <c r="O637" s="100"/>
      <c r="P637" s="100"/>
      <c r="Q637" s="100"/>
      <c r="R637" s="100"/>
      <c r="S637" s="100"/>
      <c r="T637" s="100"/>
      <c r="U637" s="100"/>
      <c r="V637" s="100"/>
      <c r="W637" s="100"/>
      <c r="X637" s="100"/>
      <c r="Y637" s="100"/>
      <c r="Z637" s="100"/>
    </row>
    <row r="638" ht="15.75" customHeight="1" spans="1:26">
      <c r="A638" s="100"/>
      <c r="B638" s="101"/>
      <c r="C638" s="100"/>
      <c r="D638" s="100"/>
      <c r="E638" s="100"/>
      <c r="F638" s="100"/>
      <c r="G638" s="100"/>
      <c r="H638" s="100"/>
      <c r="I638" s="100"/>
      <c r="J638" s="100"/>
      <c r="K638" s="100"/>
      <c r="L638" s="100"/>
      <c r="M638" s="100"/>
      <c r="N638" s="100"/>
      <c r="O638" s="100"/>
      <c r="P638" s="100"/>
      <c r="Q638" s="100"/>
      <c r="R638" s="100"/>
      <c r="S638" s="100"/>
      <c r="T638" s="100"/>
      <c r="U638" s="100"/>
      <c r="V638" s="100"/>
      <c r="W638" s="100"/>
      <c r="X638" s="100"/>
      <c r="Y638" s="100"/>
      <c r="Z638" s="100"/>
    </row>
    <row r="639" ht="15.75" customHeight="1" spans="1:26">
      <c r="A639" s="100"/>
      <c r="B639" s="101"/>
      <c r="C639" s="100"/>
      <c r="D639" s="100"/>
      <c r="E639" s="100"/>
      <c r="F639" s="100"/>
      <c r="G639" s="100"/>
      <c r="H639" s="100"/>
      <c r="I639" s="100"/>
      <c r="J639" s="100"/>
      <c r="K639" s="100"/>
      <c r="L639" s="100"/>
      <c r="M639" s="100"/>
      <c r="N639" s="100"/>
      <c r="O639" s="100"/>
      <c r="P639" s="100"/>
      <c r="Q639" s="100"/>
      <c r="R639" s="100"/>
      <c r="S639" s="100"/>
      <c r="T639" s="100"/>
      <c r="U639" s="100"/>
      <c r="V639" s="100"/>
      <c r="W639" s="100"/>
      <c r="X639" s="100"/>
      <c r="Y639" s="100"/>
      <c r="Z639" s="100"/>
    </row>
    <row r="640" ht="15.75" customHeight="1" spans="1:26">
      <c r="A640" s="100"/>
      <c r="B640" s="101"/>
      <c r="C640" s="100"/>
      <c r="D640" s="100"/>
      <c r="E640" s="100"/>
      <c r="F640" s="100"/>
      <c r="G640" s="100"/>
      <c r="H640" s="100"/>
      <c r="I640" s="100"/>
      <c r="J640" s="100"/>
      <c r="K640" s="100"/>
      <c r="L640" s="100"/>
      <c r="M640" s="100"/>
      <c r="N640" s="100"/>
      <c r="O640" s="100"/>
      <c r="P640" s="100"/>
      <c r="Q640" s="100"/>
      <c r="R640" s="100"/>
      <c r="S640" s="100"/>
      <c r="T640" s="100"/>
      <c r="U640" s="100"/>
      <c r="V640" s="100"/>
      <c r="W640" s="100"/>
      <c r="X640" s="100"/>
      <c r="Y640" s="100"/>
      <c r="Z640" s="100"/>
    </row>
    <row r="641" ht="15.75" customHeight="1" spans="1:26">
      <c r="A641" s="100"/>
      <c r="B641" s="101"/>
      <c r="C641" s="100"/>
      <c r="D641" s="100"/>
      <c r="E641" s="100"/>
      <c r="F641" s="100"/>
      <c r="G641" s="100"/>
      <c r="H641" s="100"/>
      <c r="I641" s="100"/>
      <c r="J641" s="100"/>
      <c r="K641" s="100"/>
      <c r="L641" s="100"/>
      <c r="M641" s="100"/>
      <c r="N641" s="100"/>
      <c r="O641" s="100"/>
      <c r="P641" s="100"/>
      <c r="Q641" s="100"/>
      <c r="R641" s="100"/>
      <c r="S641" s="100"/>
      <c r="T641" s="100"/>
      <c r="U641" s="100"/>
      <c r="V641" s="100"/>
      <c r="W641" s="100"/>
      <c r="X641" s="100"/>
      <c r="Y641" s="100"/>
      <c r="Z641" s="100"/>
    </row>
    <row r="642" ht="15.75" customHeight="1" spans="1:26">
      <c r="A642" s="100"/>
      <c r="B642" s="101"/>
      <c r="C642" s="100"/>
      <c r="D642" s="100"/>
      <c r="E642" s="100"/>
      <c r="F642" s="100"/>
      <c r="G642" s="100"/>
      <c r="H642" s="100"/>
      <c r="I642" s="100"/>
      <c r="J642" s="100"/>
      <c r="K642" s="100"/>
      <c r="L642" s="100"/>
      <c r="M642" s="100"/>
      <c r="N642" s="100"/>
      <c r="O642" s="100"/>
      <c r="P642" s="100"/>
      <c r="Q642" s="100"/>
      <c r="R642" s="100"/>
      <c r="S642" s="100"/>
      <c r="T642" s="100"/>
      <c r="U642" s="100"/>
      <c r="V642" s="100"/>
      <c r="W642" s="100"/>
      <c r="X642" s="100"/>
      <c r="Y642" s="100"/>
      <c r="Z642" s="100"/>
    </row>
    <row r="643" ht="15.75" customHeight="1" spans="1:26">
      <c r="A643" s="100"/>
      <c r="B643" s="101"/>
      <c r="C643" s="100"/>
      <c r="D643" s="100"/>
      <c r="E643" s="100"/>
      <c r="F643" s="100"/>
      <c r="G643" s="100"/>
      <c r="H643" s="100"/>
      <c r="I643" s="100"/>
      <c r="J643" s="100"/>
      <c r="K643" s="100"/>
      <c r="L643" s="100"/>
      <c r="M643" s="100"/>
      <c r="N643" s="100"/>
      <c r="O643" s="100"/>
      <c r="P643" s="100"/>
      <c r="Q643" s="100"/>
      <c r="R643" s="100"/>
      <c r="S643" s="100"/>
      <c r="T643" s="100"/>
      <c r="U643" s="100"/>
      <c r="V643" s="100"/>
      <c r="W643" s="100"/>
      <c r="X643" s="100"/>
      <c r="Y643" s="100"/>
      <c r="Z643" s="100"/>
    </row>
    <row r="644" ht="15.75" customHeight="1" spans="1:26">
      <c r="A644" s="100"/>
      <c r="B644" s="101"/>
      <c r="C644" s="100"/>
      <c r="D644" s="100"/>
      <c r="E644" s="100"/>
      <c r="F644" s="100"/>
      <c r="G644" s="100"/>
      <c r="H644" s="100"/>
      <c r="I644" s="100"/>
      <c r="J644" s="100"/>
      <c r="K644" s="100"/>
      <c r="L644" s="100"/>
      <c r="M644" s="100"/>
      <c r="N644" s="100"/>
      <c r="O644" s="100"/>
      <c r="P644" s="100"/>
      <c r="Q644" s="100"/>
      <c r="R644" s="100"/>
      <c r="S644" s="100"/>
      <c r="T644" s="100"/>
      <c r="U644" s="100"/>
      <c r="V644" s="100"/>
      <c r="W644" s="100"/>
      <c r="X644" s="100"/>
      <c r="Y644" s="100"/>
      <c r="Z644" s="100"/>
    </row>
    <row r="645" ht="15.75" customHeight="1" spans="1:26">
      <c r="A645" s="100"/>
      <c r="B645" s="101"/>
      <c r="C645" s="100"/>
      <c r="D645" s="100"/>
      <c r="E645" s="100"/>
      <c r="F645" s="100"/>
      <c r="G645" s="100"/>
      <c r="H645" s="100"/>
      <c r="I645" s="100"/>
      <c r="J645" s="100"/>
      <c r="K645" s="100"/>
      <c r="L645" s="100"/>
      <c r="M645" s="100"/>
      <c r="N645" s="100"/>
      <c r="O645" s="100"/>
      <c r="P645" s="100"/>
      <c r="Q645" s="100"/>
      <c r="R645" s="100"/>
      <c r="S645" s="100"/>
      <c r="T645" s="100"/>
      <c r="U645" s="100"/>
      <c r="V645" s="100"/>
      <c r="W645" s="100"/>
      <c r="X645" s="100"/>
      <c r="Y645" s="100"/>
      <c r="Z645" s="100"/>
    </row>
    <row r="646" ht="15.75" customHeight="1" spans="1:26">
      <c r="A646" s="100"/>
      <c r="B646" s="101"/>
      <c r="C646" s="100"/>
      <c r="D646" s="100"/>
      <c r="E646" s="100"/>
      <c r="F646" s="100"/>
      <c r="G646" s="100"/>
      <c r="H646" s="100"/>
      <c r="I646" s="100"/>
      <c r="J646" s="100"/>
      <c r="K646" s="100"/>
      <c r="L646" s="100"/>
      <c r="M646" s="100"/>
      <c r="N646" s="100"/>
      <c r="O646" s="100"/>
      <c r="P646" s="100"/>
      <c r="Q646" s="100"/>
      <c r="R646" s="100"/>
      <c r="S646" s="100"/>
      <c r="T646" s="100"/>
      <c r="U646" s="100"/>
      <c r="V646" s="100"/>
      <c r="W646" s="100"/>
      <c r="X646" s="100"/>
      <c r="Y646" s="100"/>
      <c r="Z646" s="100"/>
    </row>
    <row r="647" ht="15.75" customHeight="1" spans="1:26">
      <c r="A647" s="100"/>
      <c r="B647" s="101"/>
      <c r="C647" s="100"/>
      <c r="D647" s="100"/>
      <c r="E647" s="100"/>
      <c r="F647" s="100"/>
      <c r="G647" s="100"/>
      <c r="H647" s="100"/>
      <c r="I647" s="100"/>
      <c r="J647" s="100"/>
      <c r="K647" s="100"/>
      <c r="L647" s="100"/>
      <c r="M647" s="100"/>
      <c r="N647" s="100"/>
      <c r="O647" s="100"/>
      <c r="P647" s="100"/>
      <c r="Q647" s="100"/>
      <c r="R647" s="100"/>
      <c r="S647" s="100"/>
      <c r="T647" s="100"/>
      <c r="U647" s="100"/>
      <c r="V647" s="100"/>
      <c r="W647" s="100"/>
      <c r="X647" s="100"/>
      <c r="Y647" s="100"/>
      <c r="Z647" s="100"/>
    </row>
    <row r="648" ht="15.75" customHeight="1" spans="1:26">
      <c r="A648" s="100"/>
      <c r="B648" s="101"/>
      <c r="C648" s="100"/>
      <c r="D648" s="100"/>
      <c r="E648" s="100"/>
      <c r="F648" s="100"/>
      <c r="G648" s="100"/>
      <c r="H648" s="100"/>
      <c r="I648" s="100"/>
      <c r="J648" s="100"/>
      <c r="K648" s="100"/>
      <c r="L648" s="100"/>
      <c r="M648" s="100"/>
      <c r="N648" s="100"/>
      <c r="O648" s="100"/>
      <c r="P648" s="100"/>
      <c r="Q648" s="100"/>
      <c r="R648" s="100"/>
      <c r="S648" s="100"/>
      <c r="T648" s="100"/>
      <c r="U648" s="100"/>
      <c r="V648" s="100"/>
      <c r="W648" s="100"/>
      <c r="X648" s="100"/>
      <c r="Y648" s="100"/>
      <c r="Z648" s="100"/>
    </row>
    <row r="649" ht="15.75" customHeight="1" spans="1:26">
      <c r="A649" s="100"/>
      <c r="B649" s="101"/>
      <c r="C649" s="100"/>
      <c r="D649" s="100"/>
      <c r="E649" s="100"/>
      <c r="F649" s="100"/>
      <c r="G649" s="100"/>
      <c r="H649" s="100"/>
      <c r="I649" s="100"/>
      <c r="J649" s="100"/>
      <c r="K649" s="100"/>
      <c r="L649" s="100"/>
      <c r="M649" s="100"/>
      <c r="N649" s="100"/>
      <c r="O649" s="100"/>
      <c r="P649" s="100"/>
      <c r="Q649" s="100"/>
      <c r="R649" s="100"/>
      <c r="S649" s="100"/>
      <c r="T649" s="100"/>
      <c r="U649" s="100"/>
      <c r="V649" s="100"/>
      <c r="W649" s="100"/>
      <c r="X649" s="100"/>
      <c r="Y649" s="100"/>
      <c r="Z649" s="100"/>
    </row>
    <row r="650" ht="15.75" customHeight="1" spans="1:26">
      <c r="A650" s="100"/>
      <c r="B650" s="101"/>
      <c r="C650" s="100"/>
      <c r="D650" s="100"/>
      <c r="E650" s="100"/>
      <c r="F650" s="100"/>
      <c r="G650" s="100"/>
      <c r="H650" s="100"/>
      <c r="I650" s="100"/>
      <c r="J650" s="100"/>
      <c r="K650" s="100"/>
      <c r="L650" s="100"/>
      <c r="M650" s="100"/>
      <c r="N650" s="100"/>
      <c r="O650" s="100"/>
      <c r="P650" s="100"/>
      <c r="Q650" s="100"/>
      <c r="R650" s="100"/>
      <c r="S650" s="100"/>
      <c r="T650" s="100"/>
      <c r="U650" s="100"/>
      <c r="V650" s="100"/>
      <c r="W650" s="100"/>
      <c r="X650" s="100"/>
      <c r="Y650" s="100"/>
      <c r="Z650" s="100"/>
    </row>
    <row r="651" ht="15.75" customHeight="1" spans="1:26">
      <c r="A651" s="100"/>
      <c r="B651" s="101"/>
      <c r="C651" s="100"/>
      <c r="D651" s="100"/>
      <c r="E651" s="100"/>
      <c r="F651" s="100"/>
      <c r="G651" s="100"/>
      <c r="H651" s="100"/>
      <c r="I651" s="100"/>
      <c r="J651" s="100"/>
      <c r="K651" s="100"/>
      <c r="L651" s="100"/>
      <c r="M651" s="100"/>
      <c r="N651" s="100"/>
      <c r="O651" s="100"/>
      <c r="P651" s="100"/>
      <c r="Q651" s="100"/>
      <c r="R651" s="100"/>
      <c r="S651" s="100"/>
      <c r="T651" s="100"/>
      <c r="U651" s="100"/>
      <c r="V651" s="100"/>
      <c r="W651" s="100"/>
      <c r="X651" s="100"/>
      <c r="Y651" s="100"/>
      <c r="Z651" s="100"/>
    </row>
    <row r="652" ht="15.75" customHeight="1" spans="1:26">
      <c r="A652" s="100"/>
      <c r="B652" s="101"/>
      <c r="C652" s="100"/>
      <c r="D652" s="100"/>
      <c r="E652" s="100"/>
      <c r="F652" s="100"/>
      <c r="G652" s="100"/>
      <c r="H652" s="100"/>
      <c r="I652" s="100"/>
      <c r="J652" s="100"/>
      <c r="K652" s="100"/>
      <c r="L652" s="100"/>
      <c r="M652" s="100"/>
      <c r="N652" s="100"/>
      <c r="O652" s="100"/>
      <c r="P652" s="100"/>
      <c r="Q652" s="100"/>
      <c r="R652" s="100"/>
      <c r="S652" s="100"/>
      <c r="T652" s="100"/>
      <c r="U652" s="100"/>
      <c r="V652" s="100"/>
      <c r="W652" s="100"/>
      <c r="X652" s="100"/>
      <c r="Y652" s="100"/>
      <c r="Z652" s="100"/>
    </row>
    <row r="653" ht="15.75" customHeight="1" spans="1:26">
      <c r="A653" s="100"/>
      <c r="B653" s="101"/>
      <c r="C653" s="100"/>
      <c r="D653" s="100"/>
      <c r="E653" s="100"/>
      <c r="F653" s="100"/>
      <c r="G653" s="100"/>
      <c r="H653" s="100"/>
      <c r="I653" s="100"/>
      <c r="J653" s="100"/>
      <c r="K653" s="100"/>
      <c r="L653" s="100"/>
      <c r="M653" s="100"/>
      <c r="N653" s="100"/>
      <c r="O653" s="100"/>
      <c r="P653" s="100"/>
      <c r="Q653" s="100"/>
      <c r="R653" s="100"/>
      <c r="S653" s="100"/>
      <c r="T653" s="100"/>
      <c r="U653" s="100"/>
      <c r="V653" s="100"/>
      <c r="W653" s="100"/>
      <c r="X653" s="100"/>
      <c r="Y653" s="100"/>
      <c r="Z653" s="100"/>
    </row>
    <row r="654" ht="15.75" customHeight="1" spans="1:26">
      <c r="A654" s="100"/>
      <c r="B654" s="101"/>
      <c r="C654" s="100"/>
      <c r="D654" s="100"/>
      <c r="E654" s="100"/>
      <c r="F654" s="100"/>
      <c r="G654" s="100"/>
      <c r="H654" s="100"/>
      <c r="I654" s="100"/>
      <c r="J654" s="100"/>
      <c r="K654" s="100"/>
      <c r="L654" s="100"/>
      <c r="M654" s="100"/>
      <c r="N654" s="100"/>
      <c r="O654" s="100"/>
      <c r="P654" s="100"/>
      <c r="Q654" s="100"/>
      <c r="R654" s="100"/>
      <c r="S654" s="100"/>
      <c r="T654" s="100"/>
      <c r="U654" s="100"/>
      <c r="V654" s="100"/>
      <c r="W654" s="100"/>
      <c r="X654" s="100"/>
      <c r="Y654" s="100"/>
      <c r="Z654" s="100"/>
    </row>
    <row r="655" ht="15.75" customHeight="1" spans="1:26">
      <c r="A655" s="100"/>
      <c r="B655" s="101"/>
      <c r="C655" s="100"/>
      <c r="D655" s="100"/>
      <c r="E655" s="100"/>
      <c r="F655" s="100"/>
      <c r="G655" s="100"/>
      <c r="H655" s="100"/>
      <c r="I655" s="100"/>
      <c r="J655" s="100"/>
      <c r="K655" s="100"/>
      <c r="L655" s="100"/>
      <c r="M655" s="100"/>
      <c r="N655" s="100"/>
      <c r="O655" s="100"/>
      <c r="P655" s="100"/>
      <c r="Q655" s="100"/>
      <c r="R655" s="100"/>
      <c r="S655" s="100"/>
      <c r="T655" s="100"/>
      <c r="U655" s="100"/>
      <c r="V655" s="100"/>
      <c r="W655" s="100"/>
      <c r="X655" s="100"/>
      <c r="Y655" s="100"/>
      <c r="Z655" s="100"/>
    </row>
    <row r="656" ht="15.75" customHeight="1" spans="1:26">
      <c r="A656" s="100"/>
      <c r="B656" s="101"/>
      <c r="C656" s="100"/>
      <c r="D656" s="100"/>
      <c r="E656" s="100"/>
      <c r="F656" s="100"/>
      <c r="G656" s="100"/>
      <c r="H656" s="100"/>
      <c r="I656" s="100"/>
      <c r="J656" s="100"/>
      <c r="K656" s="100"/>
      <c r="L656" s="100"/>
      <c r="M656" s="100"/>
      <c r="N656" s="100"/>
      <c r="O656" s="100"/>
      <c r="P656" s="100"/>
      <c r="Q656" s="100"/>
      <c r="R656" s="100"/>
      <c r="S656" s="100"/>
      <c r="T656" s="100"/>
      <c r="U656" s="100"/>
      <c r="V656" s="100"/>
      <c r="W656" s="100"/>
      <c r="X656" s="100"/>
      <c r="Y656" s="100"/>
      <c r="Z656" s="100"/>
    </row>
    <row r="657" ht="15.75" customHeight="1" spans="1:26">
      <c r="A657" s="100"/>
      <c r="B657" s="101"/>
      <c r="C657" s="100"/>
      <c r="D657" s="100"/>
      <c r="E657" s="100"/>
      <c r="F657" s="100"/>
      <c r="G657" s="100"/>
      <c r="H657" s="100"/>
      <c r="I657" s="100"/>
      <c r="J657" s="100"/>
      <c r="K657" s="100"/>
      <c r="L657" s="100"/>
      <c r="M657" s="100"/>
      <c r="N657" s="100"/>
      <c r="O657" s="100"/>
      <c r="P657" s="100"/>
      <c r="Q657" s="100"/>
      <c r="R657" s="100"/>
      <c r="S657" s="100"/>
      <c r="T657" s="100"/>
      <c r="U657" s="100"/>
      <c r="V657" s="100"/>
      <c r="W657" s="100"/>
      <c r="X657" s="100"/>
      <c r="Y657" s="100"/>
      <c r="Z657" s="100"/>
    </row>
    <row r="658" ht="15.75" customHeight="1" spans="1:26">
      <c r="A658" s="100"/>
      <c r="B658" s="101"/>
      <c r="C658" s="100"/>
      <c r="D658" s="100"/>
      <c r="E658" s="100"/>
      <c r="F658" s="100"/>
      <c r="G658" s="100"/>
      <c r="H658" s="100"/>
      <c r="I658" s="100"/>
      <c r="J658" s="100"/>
      <c r="K658" s="100"/>
      <c r="L658" s="100"/>
      <c r="M658" s="100"/>
      <c r="N658" s="100"/>
      <c r="O658" s="100"/>
      <c r="P658" s="100"/>
      <c r="Q658" s="100"/>
      <c r="R658" s="100"/>
      <c r="S658" s="100"/>
      <c r="T658" s="100"/>
      <c r="U658" s="100"/>
      <c r="V658" s="100"/>
      <c r="W658" s="100"/>
      <c r="X658" s="100"/>
      <c r="Y658" s="100"/>
      <c r="Z658" s="100"/>
    </row>
    <row r="659" ht="15.75" customHeight="1" spans="1:26">
      <c r="A659" s="100"/>
      <c r="B659" s="101"/>
      <c r="C659" s="100"/>
      <c r="D659" s="100"/>
      <c r="E659" s="100"/>
      <c r="F659" s="100"/>
      <c r="G659" s="100"/>
      <c r="H659" s="100"/>
      <c r="I659" s="100"/>
      <c r="J659" s="100"/>
      <c r="K659" s="100"/>
      <c r="L659" s="100"/>
      <c r="M659" s="100"/>
      <c r="N659" s="100"/>
      <c r="O659" s="100"/>
      <c r="P659" s="100"/>
      <c r="Q659" s="100"/>
      <c r="R659" s="100"/>
      <c r="S659" s="100"/>
      <c r="T659" s="100"/>
      <c r="U659" s="100"/>
      <c r="V659" s="100"/>
      <c r="W659" s="100"/>
      <c r="X659" s="100"/>
      <c r="Y659" s="100"/>
      <c r="Z659" s="100"/>
    </row>
    <row r="660" ht="15.75" customHeight="1" spans="1:26">
      <c r="A660" s="100"/>
      <c r="B660" s="101"/>
      <c r="C660" s="100"/>
      <c r="D660" s="100"/>
      <c r="E660" s="100"/>
      <c r="F660" s="100"/>
      <c r="G660" s="100"/>
      <c r="H660" s="100"/>
      <c r="I660" s="100"/>
      <c r="J660" s="100"/>
      <c r="K660" s="100"/>
      <c r="L660" s="100"/>
      <c r="M660" s="100"/>
      <c r="N660" s="100"/>
      <c r="O660" s="100"/>
      <c r="P660" s="100"/>
      <c r="Q660" s="100"/>
      <c r="R660" s="100"/>
      <c r="S660" s="100"/>
      <c r="T660" s="100"/>
      <c r="U660" s="100"/>
      <c r="V660" s="100"/>
      <c r="W660" s="100"/>
      <c r="X660" s="100"/>
      <c r="Y660" s="100"/>
      <c r="Z660" s="100"/>
    </row>
    <row r="661" ht="15.75" customHeight="1" spans="1:26">
      <c r="A661" s="100"/>
      <c r="B661" s="101"/>
      <c r="C661" s="100"/>
      <c r="D661" s="100"/>
      <c r="E661" s="100"/>
      <c r="F661" s="100"/>
      <c r="G661" s="100"/>
      <c r="H661" s="100"/>
      <c r="I661" s="100"/>
      <c r="J661" s="100"/>
      <c r="K661" s="100"/>
      <c r="L661" s="100"/>
      <c r="M661" s="100"/>
      <c r="N661" s="100"/>
      <c r="O661" s="100"/>
      <c r="P661" s="100"/>
      <c r="Q661" s="100"/>
      <c r="R661" s="100"/>
      <c r="S661" s="100"/>
      <c r="T661" s="100"/>
      <c r="U661" s="100"/>
      <c r="V661" s="100"/>
      <c r="W661" s="100"/>
      <c r="X661" s="100"/>
      <c r="Y661" s="100"/>
      <c r="Z661" s="100"/>
    </row>
    <row r="662" ht="15.75" customHeight="1" spans="1:26">
      <c r="A662" s="100"/>
      <c r="B662" s="101"/>
      <c r="C662" s="100"/>
      <c r="D662" s="100"/>
      <c r="E662" s="100"/>
      <c r="F662" s="100"/>
      <c r="G662" s="100"/>
      <c r="H662" s="100"/>
      <c r="I662" s="100"/>
      <c r="J662" s="100"/>
      <c r="K662" s="100"/>
      <c r="L662" s="100"/>
      <c r="M662" s="100"/>
      <c r="N662" s="100"/>
      <c r="O662" s="100"/>
      <c r="P662" s="100"/>
      <c r="Q662" s="100"/>
      <c r="R662" s="100"/>
      <c r="S662" s="100"/>
      <c r="T662" s="100"/>
      <c r="U662" s="100"/>
      <c r="V662" s="100"/>
      <c r="W662" s="100"/>
      <c r="X662" s="100"/>
      <c r="Y662" s="100"/>
      <c r="Z662" s="100"/>
    </row>
    <row r="663" ht="15.75" customHeight="1" spans="1:26">
      <c r="A663" s="100"/>
      <c r="B663" s="101"/>
      <c r="C663" s="100"/>
      <c r="D663" s="100"/>
      <c r="E663" s="100"/>
      <c r="F663" s="100"/>
      <c r="G663" s="100"/>
      <c r="H663" s="100"/>
      <c r="I663" s="100"/>
      <c r="J663" s="100"/>
      <c r="K663" s="100"/>
      <c r="L663" s="100"/>
      <c r="M663" s="100"/>
      <c r="N663" s="100"/>
      <c r="O663" s="100"/>
      <c r="P663" s="100"/>
      <c r="Q663" s="100"/>
      <c r="R663" s="100"/>
      <c r="S663" s="100"/>
      <c r="T663" s="100"/>
      <c r="U663" s="100"/>
      <c r="V663" s="100"/>
      <c r="W663" s="100"/>
      <c r="X663" s="100"/>
      <c r="Y663" s="100"/>
      <c r="Z663" s="100"/>
    </row>
    <row r="664" ht="15.75" customHeight="1" spans="1:26">
      <c r="A664" s="100"/>
      <c r="B664" s="101"/>
      <c r="C664" s="100"/>
      <c r="D664" s="100"/>
      <c r="E664" s="100"/>
      <c r="F664" s="100"/>
      <c r="G664" s="100"/>
      <c r="H664" s="100"/>
      <c r="I664" s="100"/>
      <c r="J664" s="100"/>
      <c r="K664" s="100"/>
      <c r="L664" s="100"/>
      <c r="M664" s="100"/>
      <c r="N664" s="100"/>
      <c r="O664" s="100"/>
      <c r="P664" s="100"/>
      <c r="Q664" s="100"/>
      <c r="R664" s="100"/>
      <c r="S664" s="100"/>
      <c r="T664" s="100"/>
      <c r="U664" s="100"/>
      <c r="V664" s="100"/>
      <c r="W664" s="100"/>
      <c r="X664" s="100"/>
      <c r="Y664" s="100"/>
      <c r="Z664" s="100"/>
    </row>
    <row r="665" ht="15.75" customHeight="1" spans="1:26">
      <c r="A665" s="100"/>
      <c r="B665" s="101"/>
      <c r="C665" s="100"/>
      <c r="D665" s="100"/>
      <c r="E665" s="100"/>
      <c r="F665" s="100"/>
      <c r="G665" s="100"/>
      <c r="H665" s="100"/>
      <c r="I665" s="100"/>
      <c r="J665" s="100"/>
      <c r="K665" s="100"/>
      <c r="L665" s="100"/>
      <c r="M665" s="100"/>
      <c r="N665" s="100"/>
      <c r="O665" s="100"/>
      <c r="P665" s="100"/>
      <c r="Q665" s="100"/>
      <c r="R665" s="100"/>
      <c r="S665" s="100"/>
      <c r="T665" s="100"/>
      <c r="U665" s="100"/>
      <c r="V665" s="100"/>
      <c r="W665" s="100"/>
      <c r="X665" s="100"/>
      <c r="Y665" s="100"/>
      <c r="Z665" s="100"/>
    </row>
    <row r="666" ht="15.75" customHeight="1" spans="1:26">
      <c r="A666" s="100"/>
      <c r="B666" s="101"/>
      <c r="C666" s="100"/>
      <c r="D666" s="100"/>
      <c r="E666" s="100"/>
      <c r="F666" s="100"/>
      <c r="G666" s="100"/>
      <c r="H666" s="100"/>
      <c r="I666" s="100"/>
      <c r="J666" s="100"/>
      <c r="K666" s="100"/>
      <c r="L666" s="100"/>
      <c r="M666" s="100"/>
      <c r="N666" s="100"/>
      <c r="O666" s="100"/>
      <c r="P666" s="100"/>
      <c r="Q666" s="100"/>
      <c r="R666" s="100"/>
      <c r="S666" s="100"/>
      <c r="T666" s="100"/>
      <c r="U666" s="100"/>
      <c r="V666" s="100"/>
      <c r="W666" s="100"/>
      <c r="X666" s="100"/>
      <c r="Y666" s="100"/>
      <c r="Z666" s="100"/>
    </row>
    <row r="667" ht="15.75" customHeight="1" spans="1:26">
      <c r="A667" s="100"/>
      <c r="B667" s="101"/>
      <c r="C667" s="100"/>
      <c r="D667" s="100"/>
      <c r="E667" s="100"/>
      <c r="F667" s="100"/>
      <c r="G667" s="100"/>
      <c r="H667" s="100"/>
      <c r="I667" s="100"/>
      <c r="J667" s="100"/>
      <c r="K667" s="100"/>
      <c r="L667" s="100"/>
      <c r="M667" s="100"/>
      <c r="N667" s="100"/>
      <c r="O667" s="100"/>
      <c r="P667" s="100"/>
      <c r="Q667" s="100"/>
      <c r="R667" s="100"/>
      <c r="S667" s="100"/>
      <c r="T667" s="100"/>
      <c r="U667" s="100"/>
      <c r="V667" s="100"/>
      <c r="W667" s="100"/>
      <c r="X667" s="100"/>
      <c r="Y667" s="100"/>
      <c r="Z667" s="100"/>
    </row>
    <row r="668" ht="15.75" customHeight="1" spans="1:26">
      <c r="A668" s="100"/>
      <c r="B668" s="101"/>
      <c r="C668" s="100"/>
      <c r="D668" s="100"/>
      <c r="E668" s="100"/>
      <c r="F668" s="100"/>
      <c r="G668" s="100"/>
      <c r="H668" s="100"/>
      <c r="I668" s="100"/>
      <c r="J668" s="100"/>
      <c r="K668" s="100"/>
      <c r="L668" s="100"/>
      <c r="M668" s="100"/>
      <c r="N668" s="100"/>
      <c r="O668" s="100"/>
      <c r="P668" s="100"/>
      <c r="Q668" s="100"/>
      <c r="R668" s="100"/>
      <c r="S668" s="100"/>
      <c r="T668" s="100"/>
      <c r="U668" s="100"/>
      <c r="V668" s="100"/>
      <c r="W668" s="100"/>
      <c r="X668" s="100"/>
      <c r="Y668" s="100"/>
      <c r="Z668" s="100"/>
    </row>
    <row r="669" ht="15.75" customHeight="1" spans="1:26">
      <c r="A669" s="100"/>
      <c r="B669" s="101"/>
      <c r="C669" s="100"/>
      <c r="D669" s="100"/>
      <c r="E669" s="100"/>
      <c r="F669" s="100"/>
      <c r="G669" s="100"/>
      <c r="H669" s="100"/>
      <c r="I669" s="100"/>
      <c r="J669" s="100"/>
      <c r="K669" s="100"/>
      <c r="L669" s="100"/>
      <c r="M669" s="100"/>
      <c r="N669" s="100"/>
      <c r="O669" s="100"/>
      <c r="P669" s="100"/>
      <c r="Q669" s="100"/>
      <c r="R669" s="100"/>
      <c r="S669" s="100"/>
      <c r="T669" s="100"/>
      <c r="U669" s="100"/>
      <c r="V669" s="100"/>
      <c r="W669" s="100"/>
      <c r="X669" s="100"/>
      <c r="Y669" s="100"/>
      <c r="Z669" s="100"/>
    </row>
    <row r="670" ht="15.75" customHeight="1" spans="1:26">
      <c r="A670" s="100"/>
      <c r="B670" s="101"/>
      <c r="C670" s="100"/>
      <c r="D670" s="100"/>
      <c r="E670" s="100"/>
      <c r="F670" s="100"/>
      <c r="G670" s="100"/>
      <c r="H670" s="100"/>
      <c r="I670" s="100"/>
      <c r="J670" s="100"/>
      <c r="K670" s="100"/>
      <c r="L670" s="100"/>
      <c r="M670" s="100"/>
      <c r="N670" s="100"/>
      <c r="O670" s="100"/>
      <c r="P670" s="100"/>
      <c r="Q670" s="100"/>
      <c r="R670" s="100"/>
      <c r="S670" s="100"/>
      <c r="T670" s="100"/>
      <c r="U670" s="100"/>
      <c r="V670" s="100"/>
      <c r="W670" s="100"/>
      <c r="X670" s="100"/>
      <c r="Y670" s="100"/>
      <c r="Z670" s="100"/>
    </row>
    <row r="671" ht="15.75" customHeight="1" spans="1:26">
      <c r="A671" s="100"/>
      <c r="B671" s="101"/>
      <c r="C671" s="100"/>
      <c r="D671" s="100"/>
      <c r="E671" s="100"/>
      <c r="F671" s="100"/>
      <c r="G671" s="100"/>
      <c r="H671" s="100"/>
      <c r="I671" s="100"/>
      <c r="J671" s="100"/>
      <c r="K671" s="100"/>
      <c r="L671" s="100"/>
      <c r="M671" s="100"/>
      <c r="N671" s="100"/>
      <c r="O671" s="100"/>
      <c r="P671" s="100"/>
      <c r="Q671" s="100"/>
      <c r="R671" s="100"/>
      <c r="S671" s="100"/>
      <c r="T671" s="100"/>
      <c r="U671" s="100"/>
      <c r="V671" s="100"/>
      <c r="W671" s="100"/>
      <c r="X671" s="100"/>
      <c r="Y671" s="100"/>
      <c r="Z671" s="100"/>
    </row>
    <row r="672" ht="15.75" customHeight="1" spans="1:26">
      <c r="A672" s="100"/>
      <c r="B672" s="101"/>
      <c r="C672" s="100"/>
      <c r="D672" s="100"/>
      <c r="E672" s="100"/>
      <c r="F672" s="100"/>
      <c r="G672" s="100"/>
      <c r="H672" s="100"/>
      <c r="I672" s="100"/>
      <c r="J672" s="100"/>
      <c r="K672" s="100"/>
      <c r="L672" s="100"/>
      <c r="M672" s="100"/>
      <c r="N672" s="100"/>
      <c r="O672" s="100"/>
      <c r="P672" s="100"/>
      <c r="Q672" s="100"/>
      <c r="R672" s="100"/>
      <c r="S672" s="100"/>
      <c r="T672" s="100"/>
      <c r="U672" s="100"/>
      <c r="V672" s="100"/>
      <c r="W672" s="100"/>
      <c r="X672" s="100"/>
      <c r="Y672" s="100"/>
      <c r="Z672" s="100"/>
    </row>
    <row r="673" ht="15.75" customHeight="1" spans="1:26">
      <c r="A673" s="100"/>
      <c r="B673" s="101"/>
      <c r="C673" s="100"/>
      <c r="D673" s="100"/>
      <c r="E673" s="100"/>
      <c r="F673" s="100"/>
      <c r="G673" s="100"/>
      <c r="H673" s="100"/>
      <c r="I673" s="100"/>
      <c r="J673" s="100"/>
      <c r="K673" s="100"/>
      <c r="L673" s="100"/>
      <c r="M673" s="100"/>
      <c r="N673" s="100"/>
      <c r="O673" s="100"/>
      <c r="P673" s="100"/>
      <c r="Q673" s="100"/>
      <c r="R673" s="100"/>
      <c r="S673" s="100"/>
      <c r="T673" s="100"/>
      <c r="U673" s="100"/>
      <c r="V673" s="100"/>
      <c r="W673" s="100"/>
      <c r="X673" s="100"/>
      <c r="Y673" s="100"/>
      <c r="Z673" s="100"/>
    </row>
    <row r="674" ht="15.75" customHeight="1" spans="1:26">
      <c r="A674" s="100"/>
      <c r="B674" s="101"/>
      <c r="C674" s="100"/>
      <c r="D674" s="100"/>
      <c r="E674" s="100"/>
      <c r="F674" s="100"/>
      <c r="G674" s="100"/>
      <c r="H674" s="100"/>
      <c r="I674" s="100"/>
      <c r="J674" s="100"/>
      <c r="K674" s="100"/>
      <c r="L674" s="100"/>
      <c r="M674" s="100"/>
      <c r="N674" s="100"/>
      <c r="O674" s="100"/>
      <c r="P674" s="100"/>
      <c r="Q674" s="100"/>
      <c r="R674" s="100"/>
      <c r="S674" s="100"/>
      <c r="T674" s="100"/>
      <c r="U674" s="100"/>
      <c r="V674" s="100"/>
      <c r="W674" s="100"/>
      <c r="X674" s="100"/>
      <c r="Y674" s="100"/>
      <c r="Z674" s="100"/>
    </row>
    <row r="675" ht="15.75" customHeight="1" spans="1:26">
      <c r="A675" s="100"/>
      <c r="B675" s="101"/>
      <c r="C675" s="100"/>
      <c r="D675" s="100"/>
      <c r="E675" s="100"/>
      <c r="F675" s="100"/>
      <c r="G675" s="100"/>
      <c r="H675" s="100"/>
      <c r="I675" s="100"/>
      <c r="J675" s="100"/>
      <c r="K675" s="100"/>
      <c r="L675" s="100"/>
      <c r="M675" s="100"/>
      <c r="N675" s="100"/>
      <c r="O675" s="100"/>
      <c r="P675" s="100"/>
      <c r="Q675" s="100"/>
      <c r="R675" s="100"/>
      <c r="S675" s="100"/>
      <c r="T675" s="100"/>
      <c r="U675" s="100"/>
      <c r="V675" s="100"/>
      <c r="W675" s="100"/>
      <c r="X675" s="100"/>
      <c r="Y675" s="100"/>
      <c r="Z675" s="100"/>
    </row>
    <row r="676" ht="15.75" customHeight="1" spans="1:26">
      <c r="A676" s="100"/>
      <c r="B676" s="101"/>
      <c r="C676" s="100"/>
      <c r="D676" s="100"/>
      <c r="E676" s="100"/>
      <c r="F676" s="100"/>
      <c r="G676" s="100"/>
      <c r="H676" s="100"/>
      <c r="I676" s="100"/>
      <c r="J676" s="100"/>
      <c r="K676" s="100"/>
      <c r="L676" s="100"/>
      <c r="M676" s="100"/>
      <c r="N676" s="100"/>
      <c r="O676" s="100"/>
      <c r="P676" s="100"/>
      <c r="Q676" s="100"/>
      <c r="R676" s="100"/>
      <c r="S676" s="100"/>
      <c r="T676" s="100"/>
      <c r="U676" s="100"/>
      <c r="V676" s="100"/>
      <c r="W676" s="100"/>
      <c r="X676" s="100"/>
      <c r="Y676" s="100"/>
      <c r="Z676" s="100"/>
    </row>
    <row r="677" ht="15.75" customHeight="1" spans="1:26">
      <c r="A677" s="100"/>
      <c r="B677" s="101"/>
      <c r="C677" s="100"/>
      <c r="D677" s="100"/>
      <c r="E677" s="100"/>
      <c r="F677" s="100"/>
      <c r="G677" s="100"/>
      <c r="H677" s="100"/>
      <c r="I677" s="100"/>
      <c r="J677" s="100"/>
      <c r="K677" s="100"/>
      <c r="L677" s="100"/>
      <c r="M677" s="100"/>
      <c r="N677" s="100"/>
      <c r="O677" s="100"/>
      <c r="P677" s="100"/>
      <c r="Q677" s="100"/>
      <c r="R677" s="100"/>
      <c r="S677" s="100"/>
      <c r="T677" s="100"/>
      <c r="U677" s="100"/>
      <c r="V677" s="100"/>
      <c r="W677" s="100"/>
      <c r="X677" s="100"/>
      <c r="Y677" s="100"/>
      <c r="Z677" s="100"/>
    </row>
    <row r="678" ht="15.75" customHeight="1" spans="1:26">
      <c r="A678" s="100"/>
      <c r="B678" s="101"/>
      <c r="C678" s="100"/>
      <c r="D678" s="100"/>
      <c r="E678" s="100"/>
      <c r="F678" s="100"/>
      <c r="G678" s="100"/>
      <c r="H678" s="100"/>
      <c r="I678" s="100"/>
      <c r="J678" s="100"/>
      <c r="K678" s="100"/>
      <c r="L678" s="100"/>
      <c r="M678" s="100"/>
      <c r="N678" s="100"/>
      <c r="O678" s="100"/>
      <c r="P678" s="100"/>
      <c r="Q678" s="100"/>
      <c r="R678" s="100"/>
      <c r="S678" s="100"/>
      <c r="T678" s="100"/>
      <c r="U678" s="100"/>
      <c r="V678" s="100"/>
      <c r="W678" s="100"/>
      <c r="X678" s="100"/>
      <c r="Y678" s="100"/>
      <c r="Z678" s="100"/>
    </row>
    <row r="679" ht="15.75" customHeight="1" spans="1:26">
      <c r="A679" s="100"/>
      <c r="B679" s="101"/>
      <c r="C679" s="100"/>
      <c r="D679" s="100"/>
      <c r="E679" s="100"/>
      <c r="F679" s="100"/>
      <c r="G679" s="100"/>
      <c r="H679" s="100"/>
      <c r="I679" s="100"/>
      <c r="J679" s="100"/>
      <c r="K679" s="100"/>
      <c r="L679" s="100"/>
      <c r="M679" s="100"/>
      <c r="N679" s="100"/>
      <c r="O679" s="100"/>
      <c r="P679" s="100"/>
      <c r="Q679" s="100"/>
      <c r="R679" s="100"/>
      <c r="S679" s="100"/>
      <c r="T679" s="100"/>
      <c r="U679" s="100"/>
      <c r="V679" s="100"/>
      <c r="W679" s="100"/>
      <c r="X679" s="100"/>
      <c r="Y679" s="100"/>
      <c r="Z679" s="100"/>
    </row>
    <row r="680" ht="15.75" customHeight="1" spans="1:26">
      <c r="A680" s="100"/>
      <c r="B680" s="101"/>
      <c r="C680" s="100"/>
      <c r="D680" s="100"/>
      <c r="E680" s="100"/>
      <c r="F680" s="100"/>
      <c r="G680" s="100"/>
      <c r="H680" s="100"/>
      <c r="I680" s="100"/>
      <c r="J680" s="100"/>
      <c r="K680" s="100"/>
      <c r="L680" s="100"/>
      <c r="M680" s="100"/>
      <c r="N680" s="100"/>
      <c r="O680" s="100"/>
      <c r="P680" s="100"/>
      <c r="Q680" s="100"/>
      <c r="R680" s="100"/>
      <c r="S680" s="100"/>
      <c r="T680" s="100"/>
      <c r="U680" s="100"/>
      <c r="V680" s="100"/>
      <c r="W680" s="100"/>
      <c r="X680" s="100"/>
      <c r="Y680" s="100"/>
      <c r="Z680" s="100"/>
    </row>
    <row r="681" ht="15.75" customHeight="1" spans="1:26">
      <c r="A681" s="100"/>
      <c r="B681" s="101"/>
      <c r="C681" s="100"/>
      <c r="D681" s="100"/>
      <c r="E681" s="100"/>
      <c r="F681" s="100"/>
      <c r="G681" s="100"/>
      <c r="H681" s="100"/>
      <c r="I681" s="100"/>
      <c r="J681" s="100"/>
      <c r="K681" s="100"/>
      <c r="L681" s="100"/>
      <c r="M681" s="100"/>
      <c r="N681" s="100"/>
      <c r="O681" s="100"/>
      <c r="P681" s="100"/>
      <c r="Q681" s="100"/>
      <c r="R681" s="100"/>
      <c r="S681" s="100"/>
      <c r="T681" s="100"/>
      <c r="U681" s="100"/>
      <c r="V681" s="100"/>
      <c r="W681" s="100"/>
      <c r="X681" s="100"/>
      <c r="Y681" s="100"/>
      <c r="Z681" s="100"/>
    </row>
    <row r="682" ht="15.75" customHeight="1" spans="1:26">
      <c r="A682" s="100"/>
      <c r="B682" s="101"/>
      <c r="C682" s="100"/>
      <c r="D682" s="100"/>
      <c r="E682" s="100"/>
      <c r="F682" s="100"/>
      <c r="G682" s="100"/>
      <c r="H682" s="100"/>
      <c r="I682" s="100"/>
      <c r="J682" s="100"/>
      <c r="K682" s="100"/>
      <c r="L682" s="100"/>
      <c r="M682" s="100"/>
      <c r="N682" s="100"/>
      <c r="O682" s="100"/>
      <c r="P682" s="100"/>
      <c r="Q682" s="100"/>
      <c r="R682" s="100"/>
      <c r="S682" s="100"/>
      <c r="T682" s="100"/>
      <c r="U682" s="100"/>
      <c r="V682" s="100"/>
      <c r="W682" s="100"/>
      <c r="X682" s="100"/>
      <c r="Y682" s="100"/>
      <c r="Z682" s="100"/>
    </row>
    <row r="683" ht="15.75" customHeight="1" spans="1:26">
      <c r="A683" s="100"/>
      <c r="B683" s="101"/>
      <c r="C683" s="100"/>
      <c r="D683" s="100"/>
      <c r="E683" s="100"/>
      <c r="F683" s="100"/>
      <c r="G683" s="100"/>
      <c r="H683" s="100"/>
      <c r="I683" s="100"/>
      <c r="J683" s="100"/>
      <c r="K683" s="100"/>
      <c r="L683" s="100"/>
      <c r="M683" s="100"/>
      <c r="N683" s="100"/>
      <c r="O683" s="100"/>
      <c r="P683" s="100"/>
      <c r="Q683" s="100"/>
      <c r="R683" s="100"/>
      <c r="S683" s="100"/>
      <c r="T683" s="100"/>
      <c r="U683" s="100"/>
      <c r="V683" s="100"/>
      <c r="W683" s="100"/>
      <c r="X683" s="100"/>
      <c r="Y683" s="100"/>
      <c r="Z683" s="100"/>
    </row>
    <row r="684" ht="15.75" customHeight="1" spans="1:26">
      <c r="A684" s="100"/>
      <c r="B684" s="101"/>
      <c r="C684" s="100"/>
      <c r="D684" s="100"/>
      <c r="E684" s="100"/>
      <c r="F684" s="100"/>
      <c r="G684" s="100"/>
      <c r="H684" s="100"/>
      <c r="I684" s="100"/>
      <c r="J684" s="100"/>
      <c r="K684" s="100"/>
      <c r="L684" s="100"/>
      <c r="M684" s="100"/>
      <c r="N684" s="100"/>
      <c r="O684" s="100"/>
      <c r="P684" s="100"/>
      <c r="Q684" s="100"/>
      <c r="R684" s="100"/>
      <c r="S684" s="100"/>
      <c r="T684" s="100"/>
      <c r="U684" s="100"/>
      <c r="V684" s="100"/>
      <c r="W684" s="100"/>
      <c r="X684" s="100"/>
      <c r="Y684" s="100"/>
      <c r="Z684" s="100"/>
    </row>
    <row r="685" ht="15.75" customHeight="1" spans="1:26">
      <c r="A685" s="100"/>
      <c r="B685" s="101"/>
      <c r="C685" s="100"/>
      <c r="D685" s="100"/>
      <c r="E685" s="100"/>
      <c r="F685" s="100"/>
      <c r="G685" s="100"/>
      <c r="H685" s="100"/>
      <c r="I685" s="100"/>
      <c r="J685" s="100"/>
      <c r="K685" s="100"/>
      <c r="L685" s="100"/>
      <c r="M685" s="100"/>
      <c r="N685" s="100"/>
      <c r="O685" s="100"/>
      <c r="P685" s="100"/>
      <c r="Q685" s="100"/>
      <c r="R685" s="100"/>
      <c r="S685" s="100"/>
      <c r="T685" s="100"/>
      <c r="U685" s="100"/>
      <c r="V685" s="100"/>
      <c r="W685" s="100"/>
      <c r="X685" s="100"/>
      <c r="Y685" s="100"/>
      <c r="Z685" s="100"/>
    </row>
    <row r="686" ht="15.75" customHeight="1" spans="1:26">
      <c r="A686" s="100"/>
      <c r="B686" s="101"/>
      <c r="C686" s="100"/>
      <c r="D686" s="100"/>
      <c r="E686" s="100"/>
      <c r="F686" s="100"/>
      <c r="G686" s="100"/>
      <c r="H686" s="100"/>
      <c r="I686" s="100"/>
      <c r="J686" s="100"/>
      <c r="K686" s="100"/>
      <c r="L686" s="100"/>
      <c r="M686" s="100"/>
      <c r="N686" s="100"/>
      <c r="O686" s="100"/>
      <c r="P686" s="100"/>
      <c r="Q686" s="100"/>
      <c r="R686" s="100"/>
      <c r="S686" s="100"/>
      <c r="T686" s="100"/>
      <c r="U686" s="100"/>
      <c r="V686" s="100"/>
      <c r="W686" s="100"/>
      <c r="X686" s="100"/>
      <c r="Y686" s="100"/>
      <c r="Z686" s="100"/>
    </row>
    <row r="687" ht="15.75" customHeight="1" spans="1:26">
      <c r="A687" s="100"/>
      <c r="B687" s="101"/>
      <c r="C687" s="100"/>
      <c r="D687" s="100"/>
      <c r="E687" s="100"/>
      <c r="F687" s="100"/>
      <c r="G687" s="100"/>
      <c r="H687" s="100"/>
      <c r="I687" s="100"/>
      <c r="J687" s="100"/>
      <c r="K687" s="100"/>
      <c r="L687" s="100"/>
      <c r="M687" s="100"/>
      <c r="N687" s="100"/>
      <c r="O687" s="100"/>
      <c r="P687" s="100"/>
      <c r="Q687" s="100"/>
      <c r="R687" s="100"/>
      <c r="S687" s="100"/>
      <c r="T687" s="100"/>
      <c r="U687" s="100"/>
      <c r="V687" s="100"/>
      <c r="W687" s="100"/>
      <c r="X687" s="100"/>
      <c r="Y687" s="100"/>
      <c r="Z687" s="100"/>
    </row>
    <row r="688" ht="15.75" customHeight="1" spans="1:26">
      <c r="A688" s="100"/>
      <c r="B688" s="101"/>
      <c r="C688" s="100"/>
      <c r="D688" s="100"/>
      <c r="E688" s="100"/>
      <c r="F688" s="100"/>
      <c r="G688" s="100"/>
      <c r="H688" s="100"/>
      <c r="I688" s="100"/>
      <c r="J688" s="100"/>
      <c r="K688" s="100"/>
      <c r="L688" s="100"/>
      <c r="M688" s="100"/>
      <c r="N688" s="100"/>
      <c r="O688" s="100"/>
      <c r="P688" s="100"/>
      <c r="Q688" s="100"/>
      <c r="R688" s="100"/>
      <c r="S688" s="100"/>
      <c r="T688" s="100"/>
      <c r="U688" s="100"/>
      <c r="V688" s="100"/>
      <c r="W688" s="100"/>
      <c r="X688" s="100"/>
      <c r="Y688" s="100"/>
      <c r="Z688" s="100"/>
    </row>
    <row r="689" ht="15.75" customHeight="1" spans="1:26">
      <c r="A689" s="100"/>
      <c r="B689" s="101"/>
      <c r="C689" s="100"/>
      <c r="D689" s="100"/>
      <c r="E689" s="100"/>
      <c r="F689" s="100"/>
      <c r="G689" s="100"/>
      <c r="H689" s="100"/>
      <c r="I689" s="100"/>
      <c r="J689" s="100"/>
      <c r="K689" s="100"/>
      <c r="L689" s="100"/>
      <c r="M689" s="100"/>
      <c r="N689" s="100"/>
      <c r="O689" s="100"/>
      <c r="P689" s="100"/>
      <c r="Q689" s="100"/>
      <c r="R689" s="100"/>
      <c r="S689" s="100"/>
      <c r="T689" s="100"/>
      <c r="U689" s="100"/>
      <c r="V689" s="100"/>
      <c r="W689" s="100"/>
      <c r="X689" s="100"/>
      <c r="Y689" s="100"/>
      <c r="Z689" s="100"/>
    </row>
    <row r="690" ht="15.75" customHeight="1" spans="1:26">
      <c r="A690" s="100"/>
      <c r="B690" s="101"/>
      <c r="C690" s="100"/>
      <c r="D690" s="100"/>
      <c r="E690" s="100"/>
      <c r="F690" s="100"/>
      <c r="G690" s="100"/>
      <c r="H690" s="100"/>
      <c r="I690" s="100"/>
      <c r="J690" s="100"/>
      <c r="K690" s="100"/>
      <c r="L690" s="100"/>
      <c r="M690" s="100"/>
      <c r="N690" s="100"/>
      <c r="O690" s="100"/>
      <c r="P690" s="100"/>
      <c r="Q690" s="100"/>
      <c r="R690" s="100"/>
      <c r="S690" s="100"/>
      <c r="T690" s="100"/>
      <c r="U690" s="100"/>
      <c r="V690" s="100"/>
      <c r="W690" s="100"/>
      <c r="X690" s="100"/>
      <c r="Y690" s="100"/>
      <c r="Z690" s="100"/>
    </row>
    <row r="691" ht="15.75" customHeight="1" spans="1:26">
      <c r="A691" s="100"/>
      <c r="B691" s="101"/>
      <c r="C691" s="100"/>
      <c r="D691" s="100"/>
      <c r="E691" s="100"/>
      <c r="F691" s="100"/>
      <c r="G691" s="100"/>
      <c r="H691" s="100"/>
      <c r="I691" s="100"/>
      <c r="J691" s="100"/>
      <c r="K691" s="100"/>
      <c r="L691" s="100"/>
      <c r="M691" s="100"/>
      <c r="N691" s="100"/>
      <c r="O691" s="100"/>
      <c r="P691" s="100"/>
      <c r="Q691" s="100"/>
      <c r="R691" s="100"/>
      <c r="S691" s="100"/>
      <c r="T691" s="100"/>
      <c r="U691" s="100"/>
      <c r="V691" s="100"/>
      <c r="W691" s="100"/>
      <c r="X691" s="100"/>
      <c r="Y691" s="100"/>
      <c r="Z691" s="100"/>
    </row>
    <row r="692" ht="15.75" customHeight="1" spans="1:26">
      <c r="A692" s="100"/>
      <c r="B692" s="101"/>
      <c r="C692" s="100"/>
      <c r="D692" s="100"/>
      <c r="E692" s="100"/>
      <c r="F692" s="100"/>
      <c r="G692" s="100"/>
      <c r="H692" s="100"/>
      <c r="I692" s="100"/>
      <c r="J692" s="100"/>
      <c r="K692" s="100"/>
      <c r="L692" s="100"/>
      <c r="M692" s="100"/>
      <c r="N692" s="100"/>
      <c r="O692" s="100"/>
      <c r="P692" s="100"/>
      <c r="Q692" s="100"/>
      <c r="R692" s="100"/>
      <c r="S692" s="100"/>
      <c r="T692" s="100"/>
      <c r="U692" s="100"/>
      <c r="V692" s="100"/>
      <c r="W692" s="100"/>
      <c r="X692" s="100"/>
      <c r="Y692" s="100"/>
      <c r="Z692" s="100"/>
    </row>
    <row r="693" ht="15.75" customHeight="1" spans="1:26">
      <c r="A693" s="100"/>
      <c r="B693" s="101"/>
      <c r="C693" s="100"/>
      <c r="D693" s="100"/>
      <c r="E693" s="100"/>
      <c r="F693" s="100"/>
      <c r="G693" s="100"/>
      <c r="H693" s="100"/>
      <c r="I693" s="100"/>
      <c r="J693" s="100"/>
      <c r="K693" s="100"/>
      <c r="L693" s="100"/>
      <c r="M693" s="100"/>
      <c r="N693" s="100"/>
      <c r="O693" s="100"/>
      <c r="P693" s="100"/>
      <c r="Q693" s="100"/>
      <c r="R693" s="100"/>
      <c r="S693" s="100"/>
      <c r="T693" s="100"/>
      <c r="U693" s="100"/>
      <c r="V693" s="100"/>
      <c r="W693" s="100"/>
      <c r="X693" s="100"/>
      <c r="Y693" s="100"/>
      <c r="Z693" s="100"/>
    </row>
    <row r="694" ht="15.75" customHeight="1" spans="1:26">
      <c r="A694" s="100"/>
      <c r="B694" s="101"/>
      <c r="C694" s="100"/>
      <c r="D694" s="100"/>
      <c r="E694" s="100"/>
      <c r="F694" s="100"/>
      <c r="G694" s="100"/>
      <c r="H694" s="100"/>
      <c r="I694" s="100"/>
      <c r="J694" s="100"/>
      <c r="K694" s="100"/>
      <c r="L694" s="100"/>
      <c r="M694" s="100"/>
      <c r="N694" s="100"/>
      <c r="O694" s="100"/>
      <c r="P694" s="100"/>
      <c r="Q694" s="100"/>
      <c r="R694" s="100"/>
      <c r="S694" s="100"/>
      <c r="T694" s="100"/>
      <c r="U694" s="100"/>
      <c r="V694" s="100"/>
      <c r="W694" s="100"/>
      <c r="X694" s="100"/>
      <c r="Y694" s="100"/>
      <c r="Z694" s="100"/>
    </row>
    <row r="695" ht="15.75" customHeight="1" spans="1:26">
      <c r="A695" s="100"/>
      <c r="B695" s="101"/>
      <c r="C695" s="100"/>
      <c r="D695" s="100"/>
      <c r="E695" s="100"/>
      <c r="F695" s="100"/>
      <c r="G695" s="100"/>
      <c r="H695" s="100"/>
      <c r="I695" s="100"/>
      <c r="J695" s="100"/>
      <c r="K695" s="100"/>
      <c r="L695" s="100"/>
      <c r="M695" s="100"/>
      <c r="N695" s="100"/>
      <c r="O695" s="100"/>
      <c r="P695" s="100"/>
      <c r="Q695" s="100"/>
      <c r="R695" s="100"/>
      <c r="S695" s="100"/>
      <c r="T695" s="100"/>
      <c r="U695" s="100"/>
      <c r="V695" s="100"/>
      <c r="W695" s="100"/>
      <c r="X695" s="100"/>
      <c r="Y695" s="100"/>
      <c r="Z695" s="100"/>
    </row>
    <row r="696" ht="15.75" customHeight="1" spans="1:26">
      <c r="A696" s="100"/>
      <c r="B696" s="101"/>
      <c r="C696" s="100"/>
      <c r="D696" s="100"/>
      <c r="E696" s="100"/>
      <c r="F696" s="100"/>
      <c r="G696" s="100"/>
      <c r="H696" s="100"/>
      <c r="I696" s="100"/>
      <c r="J696" s="100"/>
      <c r="K696" s="100"/>
      <c r="L696" s="100"/>
      <c r="M696" s="100"/>
      <c r="N696" s="100"/>
      <c r="O696" s="100"/>
      <c r="P696" s="100"/>
      <c r="Q696" s="100"/>
      <c r="R696" s="100"/>
      <c r="S696" s="100"/>
      <c r="T696" s="100"/>
      <c r="U696" s="100"/>
      <c r="V696" s="100"/>
      <c r="W696" s="100"/>
      <c r="X696" s="100"/>
      <c r="Y696" s="100"/>
      <c r="Z696" s="100"/>
    </row>
    <row r="697" ht="15.75" customHeight="1" spans="1:26">
      <c r="A697" s="100"/>
      <c r="B697" s="101"/>
      <c r="C697" s="100"/>
      <c r="D697" s="100"/>
      <c r="E697" s="100"/>
      <c r="F697" s="100"/>
      <c r="G697" s="100"/>
      <c r="H697" s="100"/>
      <c r="I697" s="100"/>
      <c r="J697" s="100"/>
      <c r="K697" s="100"/>
      <c r="L697" s="100"/>
      <c r="M697" s="100"/>
      <c r="N697" s="100"/>
      <c r="O697" s="100"/>
      <c r="P697" s="100"/>
      <c r="Q697" s="100"/>
      <c r="R697" s="100"/>
      <c r="S697" s="100"/>
      <c r="T697" s="100"/>
      <c r="U697" s="100"/>
      <c r="V697" s="100"/>
      <c r="W697" s="100"/>
      <c r="X697" s="100"/>
      <c r="Y697" s="100"/>
      <c r="Z697" s="100"/>
    </row>
    <row r="698" ht="15.75" customHeight="1" spans="1:26">
      <c r="A698" s="100"/>
      <c r="B698" s="101"/>
      <c r="C698" s="100"/>
      <c r="D698" s="100"/>
      <c r="E698" s="100"/>
      <c r="F698" s="100"/>
      <c r="G698" s="100"/>
      <c r="H698" s="100"/>
      <c r="I698" s="100"/>
      <c r="J698" s="100"/>
      <c r="K698" s="100"/>
      <c r="L698" s="100"/>
      <c r="M698" s="100"/>
      <c r="N698" s="100"/>
      <c r="O698" s="100"/>
      <c r="P698" s="100"/>
      <c r="Q698" s="100"/>
      <c r="R698" s="100"/>
      <c r="S698" s="100"/>
      <c r="T698" s="100"/>
      <c r="U698" s="100"/>
      <c r="V698" s="100"/>
      <c r="W698" s="100"/>
      <c r="X698" s="100"/>
      <c r="Y698" s="100"/>
      <c r="Z698" s="100"/>
    </row>
    <row r="699" ht="15.75" customHeight="1" spans="1:26">
      <c r="A699" s="100"/>
      <c r="B699" s="101"/>
      <c r="C699" s="100"/>
      <c r="D699" s="100"/>
      <c r="E699" s="100"/>
      <c r="F699" s="100"/>
      <c r="G699" s="100"/>
      <c r="H699" s="100"/>
      <c r="I699" s="100"/>
      <c r="J699" s="100"/>
      <c r="K699" s="100"/>
      <c r="L699" s="100"/>
      <c r="M699" s="100"/>
      <c r="N699" s="100"/>
      <c r="O699" s="100"/>
      <c r="P699" s="100"/>
      <c r="Q699" s="100"/>
      <c r="R699" s="100"/>
      <c r="S699" s="100"/>
      <c r="T699" s="100"/>
      <c r="U699" s="100"/>
      <c r="V699" s="100"/>
      <c r="W699" s="100"/>
      <c r="X699" s="100"/>
      <c r="Y699" s="100"/>
      <c r="Z699" s="100"/>
    </row>
    <row r="700" ht="15.75" customHeight="1" spans="1:26">
      <c r="A700" s="100"/>
      <c r="B700" s="101"/>
      <c r="C700" s="100"/>
      <c r="D700" s="100"/>
      <c r="E700" s="100"/>
      <c r="F700" s="100"/>
      <c r="G700" s="100"/>
      <c r="H700" s="100"/>
      <c r="I700" s="100"/>
      <c r="J700" s="100"/>
      <c r="K700" s="100"/>
      <c r="L700" s="100"/>
      <c r="M700" s="100"/>
      <c r="N700" s="100"/>
      <c r="O700" s="100"/>
      <c r="P700" s="100"/>
      <c r="Q700" s="100"/>
      <c r="R700" s="100"/>
      <c r="S700" s="100"/>
      <c r="T700" s="100"/>
      <c r="U700" s="100"/>
      <c r="V700" s="100"/>
      <c r="W700" s="100"/>
      <c r="X700" s="100"/>
      <c r="Y700" s="100"/>
      <c r="Z700" s="100"/>
    </row>
    <row r="701" ht="15.75" customHeight="1" spans="1:26">
      <c r="A701" s="100"/>
      <c r="B701" s="101"/>
      <c r="C701" s="100"/>
      <c r="D701" s="100"/>
      <c r="E701" s="100"/>
      <c r="F701" s="100"/>
      <c r="G701" s="100"/>
      <c r="H701" s="100"/>
      <c r="I701" s="100"/>
      <c r="J701" s="100"/>
      <c r="K701" s="100"/>
      <c r="L701" s="100"/>
      <c r="M701" s="100"/>
      <c r="N701" s="100"/>
      <c r="O701" s="100"/>
      <c r="P701" s="100"/>
      <c r="Q701" s="100"/>
      <c r="R701" s="100"/>
      <c r="S701" s="100"/>
      <c r="T701" s="100"/>
      <c r="U701" s="100"/>
      <c r="V701" s="100"/>
      <c r="W701" s="100"/>
      <c r="X701" s="100"/>
      <c r="Y701" s="100"/>
      <c r="Z701" s="100"/>
    </row>
    <row r="702" ht="15.75" customHeight="1" spans="1:26">
      <c r="A702" s="100"/>
      <c r="B702" s="101"/>
      <c r="C702" s="100"/>
      <c r="D702" s="100"/>
      <c r="E702" s="100"/>
      <c r="F702" s="100"/>
      <c r="G702" s="100"/>
      <c r="H702" s="100"/>
      <c r="I702" s="100"/>
      <c r="J702" s="100"/>
      <c r="K702" s="100"/>
      <c r="L702" s="100"/>
      <c r="M702" s="100"/>
      <c r="N702" s="100"/>
      <c r="O702" s="100"/>
      <c r="P702" s="100"/>
      <c r="Q702" s="100"/>
      <c r="R702" s="100"/>
      <c r="S702" s="100"/>
      <c r="T702" s="100"/>
      <c r="U702" s="100"/>
      <c r="V702" s="100"/>
      <c r="W702" s="100"/>
      <c r="X702" s="100"/>
      <c r="Y702" s="100"/>
      <c r="Z702" s="100"/>
    </row>
    <row r="703" ht="15.75" customHeight="1" spans="1:26">
      <c r="A703" s="100"/>
      <c r="B703" s="101"/>
      <c r="C703" s="100"/>
      <c r="D703" s="100"/>
      <c r="E703" s="100"/>
      <c r="F703" s="100"/>
      <c r="G703" s="100"/>
      <c r="H703" s="100"/>
      <c r="I703" s="100"/>
      <c r="J703" s="100"/>
      <c r="K703" s="100"/>
      <c r="L703" s="100"/>
      <c r="M703" s="100"/>
      <c r="N703" s="100"/>
      <c r="O703" s="100"/>
      <c r="P703" s="100"/>
      <c r="Q703" s="100"/>
      <c r="R703" s="100"/>
      <c r="S703" s="100"/>
      <c r="T703" s="100"/>
      <c r="U703" s="100"/>
      <c r="V703" s="100"/>
      <c r="W703" s="100"/>
      <c r="X703" s="100"/>
      <c r="Y703" s="100"/>
      <c r="Z703" s="100"/>
    </row>
    <row r="704" ht="15.75" customHeight="1" spans="1:26">
      <c r="A704" s="100"/>
      <c r="B704" s="101"/>
      <c r="C704" s="100"/>
      <c r="D704" s="100"/>
      <c r="E704" s="100"/>
      <c r="F704" s="100"/>
      <c r="G704" s="100"/>
      <c r="H704" s="100"/>
      <c r="I704" s="100"/>
      <c r="J704" s="100"/>
      <c r="K704" s="100"/>
      <c r="L704" s="100"/>
      <c r="M704" s="100"/>
      <c r="N704" s="100"/>
      <c r="O704" s="100"/>
      <c r="P704" s="100"/>
      <c r="Q704" s="100"/>
      <c r="R704" s="100"/>
      <c r="S704" s="100"/>
      <c r="T704" s="100"/>
      <c r="U704" s="100"/>
      <c r="V704" s="100"/>
      <c r="W704" s="100"/>
      <c r="X704" s="100"/>
      <c r="Y704" s="100"/>
      <c r="Z704" s="100"/>
    </row>
    <row r="705" ht="15.75" customHeight="1" spans="1:26">
      <c r="A705" s="100"/>
      <c r="B705" s="101"/>
      <c r="C705" s="100"/>
      <c r="D705" s="100"/>
      <c r="E705" s="100"/>
      <c r="F705" s="100"/>
      <c r="G705" s="100"/>
      <c r="H705" s="100"/>
      <c r="I705" s="100"/>
      <c r="J705" s="100"/>
      <c r="K705" s="100"/>
      <c r="L705" s="100"/>
      <c r="M705" s="100"/>
      <c r="N705" s="100"/>
      <c r="O705" s="100"/>
      <c r="P705" s="100"/>
      <c r="Q705" s="100"/>
      <c r="R705" s="100"/>
      <c r="S705" s="100"/>
      <c r="T705" s="100"/>
      <c r="U705" s="100"/>
      <c r="V705" s="100"/>
      <c r="W705" s="100"/>
      <c r="X705" s="100"/>
      <c r="Y705" s="100"/>
      <c r="Z705" s="100"/>
    </row>
    <row r="706" ht="15.75" customHeight="1" spans="1:26">
      <c r="A706" s="100"/>
      <c r="B706" s="101"/>
      <c r="C706" s="100"/>
      <c r="D706" s="100"/>
      <c r="E706" s="100"/>
      <c r="F706" s="100"/>
      <c r="G706" s="100"/>
      <c r="H706" s="100"/>
      <c r="I706" s="100"/>
      <c r="J706" s="100"/>
      <c r="K706" s="100"/>
      <c r="L706" s="100"/>
      <c r="M706" s="100"/>
      <c r="N706" s="100"/>
      <c r="O706" s="100"/>
      <c r="P706" s="100"/>
      <c r="Q706" s="100"/>
      <c r="R706" s="100"/>
      <c r="S706" s="100"/>
      <c r="T706" s="100"/>
      <c r="U706" s="100"/>
      <c r="V706" s="100"/>
      <c r="W706" s="100"/>
      <c r="X706" s="100"/>
      <c r="Y706" s="100"/>
      <c r="Z706" s="100"/>
    </row>
    <row r="707" ht="15.75" customHeight="1" spans="1:26">
      <c r="A707" s="100"/>
      <c r="B707" s="101"/>
      <c r="C707" s="100"/>
      <c r="D707" s="100"/>
      <c r="E707" s="100"/>
      <c r="F707" s="100"/>
      <c r="G707" s="100"/>
      <c r="H707" s="100"/>
      <c r="I707" s="100"/>
      <c r="J707" s="100"/>
      <c r="K707" s="100"/>
      <c r="L707" s="100"/>
      <c r="M707" s="100"/>
      <c r="N707" s="100"/>
      <c r="O707" s="100"/>
      <c r="P707" s="100"/>
      <c r="Q707" s="100"/>
      <c r="R707" s="100"/>
      <c r="S707" s="100"/>
      <c r="T707" s="100"/>
      <c r="U707" s="100"/>
      <c r="V707" s="100"/>
      <c r="W707" s="100"/>
      <c r="X707" s="100"/>
      <c r="Y707" s="100"/>
      <c r="Z707" s="100"/>
    </row>
    <row r="708" ht="15.75" customHeight="1" spans="1:26">
      <c r="A708" s="100"/>
      <c r="B708" s="101"/>
      <c r="C708" s="100"/>
      <c r="D708" s="100"/>
      <c r="E708" s="100"/>
      <c r="F708" s="100"/>
      <c r="G708" s="100"/>
      <c r="H708" s="100"/>
      <c r="I708" s="100"/>
      <c r="J708" s="100"/>
      <c r="K708" s="100"/>
      <c r="L708" s="100"/>
      <c r="M708" s="100"/>
      <c r="N708" s="100"/>
      <c r="O708" s="100"/>
      <c r="P708" s="100"/>
      <c r="Q708" s="100"/>
      <c r="R708" s="100"/>
      <c r="S708" s="100"/>
      <c r="T708" s="100"/>
      <c r="U708" s="100"/>
      <c r="V708" s="100"/>
      <c r="W708" s="100"/>
      <c r="X708" s="100"/>
      <c r="Y708" s="100"/>
      <c r="Z708" s="100"/>
    </row>
    <row r="709" ht="15.75" customHeight="1" spans="1:26">
      <c r="A709" s="100"/>
      <c r="B709" s="101"/>
      <c r="C709" s="100"/>
      <c r="D709" s="100"/>
      <c r="E709" s="100"/>
      <c r="F709" s="100"/>
      <c r="G709" s="100"/>
      <c r="H709" s="100"/>
      <c r="I709" s="100"/>
      <c r="J709" s="100"/>
      <c r="K709" s="100"/>
      <c r="L709" s="100"/>
      <c r="M709" s="100"/>
      <c r="N709" s="100"/>
      <c r="O709" s="100"/>
      <c r="P709" s="100"/>
      <c r="Q709" s="100"/>
      <c r="R709" s="100"/>
      <c r="S709" s="100"/>
      <c r="T709" s="100"/>
      <c r="U709" s="100"/>
      <c r="V709" s="100"/>
      <c r="W709" s="100"/>
      <c r="X709" s="100"/>
      <c r="Y709" s="100"/>
      <c r="Z709" s="100"/>
    </row>
    <row r="710" ht="15.75" customHeight="1" spans="1:26">
      <c r="A710" s="100"/>
      <c r="B710" s="101"/>
      <c r="C710" s="100"/>
      <c r="D710" s="100"/>
      <c r="E710" s="100"/>
      <c r="F710" s="100"/>
      <c r="G710" s="100"/>
      <c r="H710" s="100"/>
      <c r="I710" s="100"/>
      <c r="J710" s="100"/>
      <c r="K710" s="100"/>
      <c r="L710" s="100"/>
      <c r="M710" s="100"/>
      <c r="N710" s="100"/>
      <c r="O710" s="100"/>
      <c r="P710" s="100"/>
      <c r="Q710" s="100"/>
      <c r="R710" s="100"/>
      <c r="S710" s="100"/>
      <c r="T710" s="100"/>
      <c r="U710" s="100"/>
      <c r="V710" s="100"/>
      <c r="W710" s="100"/>
      <c r="X710" s="100"/>
      <c r="Y710" s="100"/>
      <c r="Z710" s="100"/>
    </row>
    <row r="711" ht="15.75" customHeight="1" spans="1:26">
      <c r="A711" s="100"/>
      <c r="B711" s="101"/>
      <c r="C711" s="100"/>
      <c r="D711" s="100"/>
      <c r="E711" s="100"/>
      <c r="F711" s="100"/>
      <c r="G711" s="100"/>
      <c r="H711" s="100"/>
      <c r="I711" s="100"/>
      <c r="J711" s="100"/>
      <c r="K711" s="100"/>
      <c r="L711" s="100"/>
      <c r="M711" s="100"/>
      <c r="N711" s="100"/>
      <c r="O711" s="100"/>
      <c r="P711" s="100"/>
      <c r="Q711" s="100"/>
      <c r="R711" s="100"/>
      <c r="S711" s="100"/>
      <c r="T711" s="100"/>
      <c r="U711" s="100"/>
      <c r="V711" s="100"/>
      <c r="W711" s="100"/>
      <c r="X711" s="100"/>
      <c r="Y711" s="100"/>
      <c r="Z711" s="100"/>
    </row>
    <row r="712" ht="15.75" customHeight="1" spans="1:26">
      <c r="A712" s="100"/>
      <c r="B712" s="101"/>
      <c r="C712" s="100"/>
      <c r="D712" s="100"/>
      <c r="E712" s="100"/>
      <c r="F712" s="100"/>
      <c r="G712" s="100"/>
      <c r="H712" s="100"/>
      <c r="I712" s="100"/>
      <c r="J712" s="100"/>
      <c r="K712" s="100"/>
      <c r="L712" s="100"/>
      <c r="M712" s="100"/>
      <c r="N712" s="100"/>
      <c r="O712" s="100"/>
      <c r="P712" s="100"/>
      <c r="Q712" s="100"/>
      <c r="R712" s="100"/>
      <c r="S712" s="100"/>
      <c r="T712" s="100"/>
      <c r="U712" s="100"/>
      <c r="V712" s="100"/>
      <c r="W712" s="100"/>
      <c r="X712" s="100"/>
      <c r="Y712" s="100"/>
      <c r="Z712" s="100"/>
    </row>
    <row r="713" ht="15.75" customHeight="1" spans="1:26">
      <c r="A713" s="100"/>
      <c r="B713" s="101"/>
      <c r="C713" s="100"/>
      <c r="D713" s="100"/>
      <c r="E713" s="100"/>
      <c r="F713" s="100"/>
      <c r="G713" s="100"/>
      <c r="H713" s="100"/>
      <c r="I713" s="100"/>
      <c r="J713" s="100"/>
      <c r="K713" s="100"/>
      <c r="L713" s="100"/>
      <c r="M713" s="100"/>
      <c r="N713" s="100"/>
      <c r="O713" s="100"/>
      <c r="P713" s="100"/>
      <c r="Q713" s="100"/>
      <c r="R713" s="100"/>
      <c r="S713" s="100"/>
      <c r="T713" s="100"/>
      <c r="U713" s="100"/>
      <c r="V713" s="100"/>
      <c r="W713" s="100"/>
      <c r="X713" s="100"/>
      <c r="Y713" s="100"/>
      <c r="Z713" s="100"/>
    </row>
    <row r="714" ht="15.75" customHeight="1" spans="1:26">
      <c r="A714" s="100"/>
      <c r="B714" s="101"/>
      <c r="C714" s="100"/>
      <c r="D714" s="100"/>
      <c r="E714" s="100"/>
      <c r="F714" s="100"/>
      <c r="G714" s="100"/>
      <c r="H714" s="100"/>
      <c r="I714" s="100"/>
      <c r="J714" s="100"/>
      <c r="K714" s="100"/>
      <c r="L714" s="100"/>
      <c r="M714" s="100"/>
      <c r="N714" s="100"/>
      <c r="O714" s="100"/>
      <c r="P714" s="100"/>
      <c r="Q714" s="100"/>
      <c r="R714" s="100"/>
      <c r="S714" s="100"/>
      <c r="T714" s="100"/>
      <c r="U714" s="100"/>
      <c r="V714" s="100"/>
      <c r="W714" s="100"/>
      <c r="X714" s="100"/>
      <c r="Y714" s="100"/>
      <c r="Z714" s="100"/>
    </row>
    <row r="715" ht="15.75" customHeight="1" spans="1:26">
      <c r="A715" s="100"/>
      <c r="B715" s="101"/>
      <c r="C715" s="100"/>
      <c r="D715" s="100"/>
      <c r="E715" s="100"/>
      <c r="F715" s="100"/>
      <c r="G715" s="100"/>
      <c r="H715" s="100"/>
      <c r="I715" s="100"/>
      <c r="J715" s="100"/>
      <c r="K715" s="100"/>
      <c r="L715" s="100"/>
      <c r="M715" s="100"/>
      <c r="N715" s="100"/>
      <c r="O715" s="100"/>
      <c r="P715" s="100"/>
      <c r="Q715" s="100"/>
      <c r="R715" s="100"/>
      <c r="S715" s="100"/>
      <c r="T715" s="100"/>
      <c r="U715" s="100"/>
      <c r="V715" s="100"/>
      <c r="W715" s="100"/>
      <c r="X715" s="100"/>
      <c r="Y715" s="100"/>
      <c r="Z715" s="100"/>
    </row>
    <row r="716" ht="15.75" customHeight="1" spans="1:26">
      <c r="A716" s="100"/>
      <c r="B716" s="101"/>
      <c r="C716" s="100"/>
      <c r="D716" s="100"/>
      <c r="E716" s="100"/>
      <c r="F716" s="100"/>
      <c r="G716" s="100"/>
      <c r="H716" s="100"/>
      <c r="I716" s="100"/>
      <c r="J716" s="100"/>
      <c r="K716" s="100"/>
      <c r="L716" s="100"/>
      <c r="M716" s="100"/>
      <c r="N716" s="100"/>
      <c r="O716" s="100"/>
      <c r="P716" s="100"/>
      <c r="Q716" s="100"/>
      <c r="R716" s="100"/>
      <c r="S716" s="100"/>
      <c r="T716" s="100"/>
      <c r="U716" s="100"/>
      <c r="V716" s="100"/>
      <c r="W716" s="100"/>
      <c r="X716" s="100"/>
      <c r="Y716" s="100"/>
      <c r="Z716" s="100"/>
    </row>
    <row r="717" ht="15.75" customHeight="1" spans="1:26">
      <c r="A717" s="100"/>
      <c r="B717" s="101"/>
      <c r="C717" s="100"/>
      <c r="D717" s="100"/>
      <c r="E717" s="100"/>
      <c r="F717" s="100"/>
      <c r="G717" s="100"/>
      <c r="H717" s="100"/>
      <c r="I717" s="100"/>
      <c r="J717" s="100"/>
      <c r="K717" s="100"/>
      <c r="L717" s="100"/>
      <c r="M717" s="100"/>
      <c r="N717" s="100"/>
      <c r="O717" s="100"/>
      <c r="P717" s="100"/>
      <c r="Q717" s="100"/>
      <c r="R717" s="100"/>
      <c r="S717" s="100"/>
      <c r="T717" s="100"/>
      <c r="U717" s="100"/>
      <c r="V717" s="100"/>
      <c r="W717" s="100"/>
      <c r="X717" s="100"/>
      <c r="Y717" s="100"/>
      <c r="Z717" s="100"/>
    </row>
    <row r="718" ht="15.75" customHeight="1" spans="1:26">
      <c r="A718" s="100"/>
      <c r="B718" s="101"/>
      <c r="C718" s="100"/>
      <c r="D718" s="100"/>
      <c r="E718" s="100"/>
      <c r="F718" s="100"/>
      <c r="G718" s="100"/>
      <c r="H718" s="100"/>
      <c r="I718" s="100"/>
      <c r="J718" s="100"/>
      <c r="K718" s="100"/>
      <c r="L718" s="100"/>
      <c r="M718" s="100"/>
      <c r="N718" s="100"/>
      <c r="O718" s="100"/>
      <c r="P718" s="100"/>
      <c r="Q718" s="100"/>
      <c r="R718" s="100"/>
      <c r="S718" s="100"/>
      <c r="T718" s="100"/>
      <c r="U718" s="100"/>
      <c r="V718" s="100"/>
      <c r="W718" s="100"/>
      <c r="X718" s="100"/>
      <c r="Y718" s="100"/>
      <c r="Z718" s="100"/>
    </row>
    <row r="719" ht="15.75" customHeight="1" spans="1:26">
      <c r="A719" s="100"/>
      <c r="B719" s="101"/>
      <c r="C719" s="100"/>
      <c r="D719" s="100"/>
      <c r="E719" s="100"/>
      <c r="F719" s="100"/>
      <c r="G719" s="100"/>
      <c r="H719" s="100"/>
      <c r="I719" s="100"/>
      <c r="J719" s="100"/>
      <c r="K719" s="100"/>
      <c r="L719" s="100"/>
      <c r="M719" s="100"/>
      <c r="N719" s="100"/>
      <c r="O719" s="100"/>
      <c r="P719" s="100"/>
      <c r="Q719" s="100"/>
      <c r="R719" s="100"/>
      <c r="S719" s="100"/>
      <c r="T719" s="100"/>
      <c r="U719" s="100"/>
      <c r="V719" s="100"/>
      <c r="W719" s="100"/>
      <c r="X719" s="100"/>
      <c r="Y719" s="100"/>
      <c r="Z719" s="100"/>
    </row>
    <row r="720" ht="15.75" customHeight="1" spans="1:26">
      <c r="A720" s="100"/>
      <c r="B720" s="101"/>
      <c r="C720" s="100"/>
      <c r="D720" s="100"/>
      <c r="E720" s="100"/>
      <c r="F720" s="100"/>
      <c r="G720" s="100"/>
      <c r="H720" s="100"/>
      <c r="I720" s="100"/>
      <c r="J720" s="100"/>
      <c r="K720" s="100"/>
      <c r="L720" s="100"/>
      <c r="M720" s="100"/>
      <c r="N720" s="100"/>
      <c r="O720" s="100"/>
      <c r="P720" s="100"/>
      <c r="Q720" s="100"/>
      <c r="R720" s="100"/>
      <c r="S720" s="100"/>
      <c r="T720" s="100"/>
      <c r="U720" s="100"/>
      <c r="V720" s="100"/>
      <c r="W720" s="100"/>
      <c r="X720" s="100"/>
      <c r="Y720" s="100"/>
      <c r="Z720" s="100"/>
    </row>
    <row r="721" ht="15.75" customHeight="1" spans="1:26">
      <c r="A721" s="100"/>
      <c r="B721" s="101"/>
      <c r="C721" s="100"/>
      <c r="D721" s="100"/>
      <c r="E721" s="100"/>
      <c r="F721" s="100"/>
      <c r="G721" s="100"/>
      <c r="H721" s="100"/>
      <c r="I721" s="100"/>
      <c r="J721" s="100"/>
      <c r="K721" s="100"/>
      <c r="L721" s="100"/>
      <c r="M721" s="100"/>
      <c r="N721" s="100"/>
      <c r="O721" s="100"/>
      <c r="P721" s="100"/>
      <c r="Q721" s="100"/>
      <c r="R721" s="100"/>
      <c r="S721" s="100"/>
      <c r="T721" s="100"/>
      <c r="U721" s="100"/>
      <c r="V721" s="100"/>
      <c r="W721" s="100"/>
      <c r="X721" s="100"/>
      <c r="Y721" s="100"/>
      <c r="Z721" s="100"/>
    </row>
    <row r="722" ht="15.75" customHeight="1" spans="1:26">
      <c r="A722" s="100"/>
      <c r="B722" s="101"/>
      <c r="C722" s="100"/>
      <c r="D722" s="100"/>
      <c r="E722" s="100"/>
      <c r="F722" s="100"/>
      <c r="G722" s="100"/>
      <c r="H722" s="100"/>
      <c r="I722" s="100"/>
      <c r="J722" s="100"/>
      <c r="K722" s="100"/>
      <c r="L722" s="100"/>
      <c r="M722" s="100"/>
      <c r="N722" s="100"/>
      <c r="O722" s="100"/>
      <c r="P722" s="100"/>
      <c r="Q722" s="100"/>
      <c r="R722" s="100"/>
      <c r="S722" s="100"/>
      <c r="T722" s="100"/>
      <c r="U722" s="100"/>
      <c r="V722" s="100"/>
      <c r="W722" s="100"/>
      <c r="X722" s="100"/>
      <c r="Y722" s="100"/>
      <c r="Z722" s="100"/>
    </row>
    <row r="723" ht="15.75" customHeight="1" spans="1:26">
      <c r="A723" s="100"/>
      <c r="B723" s="101"/>
      <c r="C723" s="100"/>
      <c r="D723" s="100"/>
      <c r="E723" s="100"/>
      <c r="F723" s="100"/>
      <c r="G723" s="100"/>
      <c r="H723" s="100"/>
      <c r="I723" s="100"/>
      <c r="J723" s="100"/>
      <c r="K723" s="100"/>
      <c r="L723" s="100"/>
      <c r="M723" s="100"/>
      <c r="N723" s="100"/>
      <c r="O723" s="100"/>
      <c r="P723" s="100"/>
      <c r="Q723" s="100"/>
      <c r="R723" s="100"/>
      <c r="S723" s="100"/>
      <c r="T723" s="100"/>
      <c r="U723" s="100"/>
      <c r="V723" s="100"/>
      <c r="W723" s="100"/>
      <c r="X723" s="100"/>
      <c r="Y723" s="100"/>
      <c r="Z723" s="100"/>
    </row>
    <row r="724" ht="15.75" customHeight="1" spans="1:26">
      <c r="A724" s="100"/>
      <c r="B724" s="101"/>
      <c r="C724" s="100"/>
      <c r="D724" s="100"/>
      <c r="E724" s="100"/>
      <c r="F724" s="100"/>
      <c r="G724" s="100"/>
      <c r="H724" s="100"/>
      <c r="I724" s="100"/>
      <c r="J724" s="100"/>
      <c r="K724" s="100"/>
      <c r="L724" s="100"/>
      <c r="M724" s="100"/>
      <c r="N724" s="100"/>
      <c r="O724" s="100"/>
      <c r="P724" s="100"/>
      <c r="Q724" s="100"/>
      <c r="R724" s="100"/>
      <c r="S724" s="100"/>
      <c r="T724" s="100"/>
      <c r="U724" s="100"/>
      <c r="V724" s="100"/>
      <c r="W724" s="100"/>
      <c r="X724" s="100"/>
      <c r="Y724" s="100"/>
      <c r="Z724" s="100"/>
    </row>
    <row r="725" ht="15.75" customHeight="1" spans="1:26">
      <c r="A725" s="100"/>
      <c r="B725" s="101"/>
      <c r="C725" s="100"/>
      <c r="D725" s="100"/>
      <c r="E725" s="100"/>
      <c r="F725" s="100"/>
      <c r="G725" s="100"/>
      <c r="H725" s="100"/>
      <c r="I725" s="100"/>
      <c r="J725" s="100"/>
      <c r="K725" s="100"/>
      <c r="L725" s="100"/>
      <c r="M725" s="100"/>
      <c r="N725" s="100"/>
      <c r="O725" s="100"/>
      <c r="P725" s="100"/>
      <c r="Q725" s="100"/>
      <c r="R725" s="100"/>
      <c r="S725" s="100"/>
      <c r="T725" s="100"/>
      <c r="U725" s="100"/>
      <c r="V725" s="100"/>
      <c r="W725" s="100"/>
      <c r="X725" s="100"/>
      <c r="Y725" s="100"/>
      <c r="Z725" s="100"/>
    </row>
    <row r="726" ht="15.75" customHeight="1" spans="1:26">
      <c r="A726" s="100"/>
      <c r="B726" s="101"/>
      <c r="C726" s="100"/>
      <c r="D726" s="100"/>
      <c r="E726" s="100"/>
      <c r="F726" s="100"/>
      <c r="G726" s="100"/>
      <c r="H726" s="100"/>
      <c r="I726" s="100"/>
      <c r="J726" s="100"/>
      <c r="K726" s="100"/>
      <c r="L726" s="100"/>
      <c r="M726" s="100"/>
      <c r="N726" s="100"/>
      <c r="O726" s="100"/>
      <c r="P726" s="100"/>
      <c r="Q726" s="100"/>
      <c r="R726" s="100"/>
      <c r="S726" s="100"/>
      <c r="T726" s="100"/>
      <c r="U726" s="100"/>
      <c r="V726" s="100"/>
      <c r="W726" s="100"/>
      <c r="X726" s="100"/>
      <c r="Y726" s="100"/>
      <c r="Z726" s="100"/>
    </row>
    <row r="727" ht="15.75" customHeight="1" spans="1:26">
      <c r="A727" s="100"/>
      <c r="B727" s="101"/>
      <c r="C727" s="100"/>
      <c r="D727" s="100"/>
      <c r="E727" s="100"/>
      <c r="F727" s="100"/>
      <c r="G727" s="100"/>
      <c r="H727" s="100"/>
      <c r="I727" s="100"/>
      <c r="J727" s="100"/>
      <c r="K727" s="100"/>
      <c r="L727" s="100"/>
      <c r="M727" s="100"/>
      <c r="N727" s="100"/>
      <c r="O727" s="100"/>
      <c r="P727" s="100"/>
      <c r="Q727" s="100"/>
      <c r="R727" s="100"/>
      <c r="S727" s="100"/>
      <c r="T727" s="100"/>
      <c r="U727" s="100"/>
      <c r="V727" s="100"/>
      <c r="W727" s="100"/>
      <c r="X727" s="100"/>
      <c r="Y727" s="100"/>
      <c r="Z727" s="100"/>
    </row>
    <row r="728" ht="15.75" customHeight="1" spans="1:26">
      <c r="A728" s="100"/>
      <c r="B728" s="101"/>
      <c r="C728" s="100"/>
      <c r="D728" s="100"/>
      <c r="E728" s="100"/>
      <c r="F728" s="100"/>
      <c r="G728" s="100"/>
      <c r="H728" s="100"/>
      <c r="I728" s="100"/>
      <c r="J728" s="100"/>
      <c r="K728" s="100"/>
      <c r="L728" s="100"/>
      <c r="M728" s="100"/>
      <c r="N728" s="100"/>
      <c r="O728" s="100"/>
      <c r="P728" s="100"/>
      <c r="Q728" s="100"/>
      <c r="R728" s="100"/>
      <c r="S728" s="100"/>
      <c r="T728" s="100"/>
      <c r="U728" s="100"/>
      <c r="V728" s="100"/>
      <c r="W728" s="100"/>
      <c r="X728" s="100"/>
      <c r="Y728" s="100"/>
      <c r="Z728" s="100"/>
    </row>
    <row r="729" ht="15.75" customHeight="1" spans="1:26">
      <c r="A729" s="100"/>
      <c r="B729" s="101"/>
      <c r="C729" s="100"/>
      <c r="D729" s="100"/>
      <c r="E729" s="100"/>
      <c r="F729" s="100"/>
      <c r="G729" s="100"/>
      <c r="H729" s="100"/>
      <c r="I729" s="100"/>
      <c r="J729" s="100"/>
      <c r="K729" s="100"/>
      <c r="L729" s="100"/>
      <c r="M729" s="100"/>
      <c r="N729" s="100"/>
      <c r="O729" s="100"/>
      <c r="P729" s="100"/>
      <c r="Q729" s="100"/>
      <c r="R729" s="100"/>
      <c r="S729" s="100"/>
      <c r="T729" s="100"/>
      <c r="U729" s="100"/>
      <c r="V729" s="100"/>
      <c r="W729" s="100"/>
      <c r="X729" s="100"/>
      <c r="Y729" s="100"/>
      <c r="Z729" s="100"/>
    </row>
    <row r="730" ht="15.75" customHeight="1" spans="1:26">
      <c r="A730" s="100"/>
      <c r="B730" s="101"/>
      <c r="C730" s="100"/>
      <c r="D730" s="100"/>
      <c r="E730" s="100"/>
      <c r="F730" s="100"/>
      <c r="G730" s="100"/>
      <c r="H730" s="100"/>
      <c r="I730" s="100"/>
      <c r="J730" s="100"/>
      <c r="K730" s="100"/>
      <c r="L730" s="100"/>
      <c r="M730" s="100"/>
      <c r="N730" s="100"/>
      <c r="O730" s="100"/>
      <c r="P730" s="100"/>
      <c r="Q730" s="100"/>
      <c r="R730" s="100"/>
      <c r="S730" s="100"/>
      <c r="T730" s="100"/>
      <c r="U730" s="100"/>
      <c r="V730" s="100"/>
      <c r="W730" s="100"/>
      <c r="X730" s="100"/>
      <c r="Y730" s="100"/>
      <c r="Z730" s="100"/>
    </row>
    <row r="731" ht="15.75" customHeight="1" spans="1:26">
      <c r="A731" s="100"/>
      <c r="B731" s="101"/>
      <c r="C731" s="100"/>
      <c r="D731" s="100"/>
      <c r="E731" s="100"/>
      <c r="F731" s="100"/>
      <c r="G731" s="100"/>
      <c r="H731" s="100"/>
      <c r="I731" s="100"/>
      <c r="J731" s="100"/>
      <c r="K731" s="100"/>
      <c r="L731" s="100"/>
      <c r="M731" s="100"/>
      <c r="N731" s="100"/>
      <c r="O731" s="100"/>
      <c r="P731" s="100"/>
      <c r="Q731" s="100"/>
      <c r="R731" s="100"/>
      <c r="S731" s="100"/>
      <c r="T731" s="100"/>
      <c r="U731" s="100"/>
      <c r="V731" s="100"/>
      <c r="W731" s="100"/>
      <c r="X731" s="100"/>
      <c r="Y731" s="100"/>
      <c r="Z731" s="100"/>
    </row>
    <row r="732" ht="15.75" customHeight="1" spans="1:26">
      <c r="A732" s="100"/>
      <c r="B732" s="101"/>
      <c r="C732" s="100"/>
      <c r="D732" s="100"/>
      <c r="E732" s="100"/>
      <c r="F732" s="100"/>
      <c r="G732" s="100"/>
      <c r="H732" s="100"/>
      <c r="I732" s="100"/>
      <c r="J732" s="100"/>
      <c r="K732" s="100"/>
      <c r="L732" s="100"/>
      <c r="M732" s="100"/>
      <c r="N732" s="100"/>
      <c r="O732" s="100"/>
      <c r="P732" s="100"/>
      <c r="Q732" s="100"/>
      <c r="R732" s="100"/>
      <c r="S732" s="100"/>
      <c r="T732" s="100"/>
      <c r="U732" s="100"/>
      <c r="V732" s="100"/>
      <c r="W732" s="100"/>
      <c r="X732" s="100"/>
      <c r="Y732" s="100"/>
      <c r="Z732" s="100"/>
    </row>
    <row r="733" ht="15.75" customHeight="1" spans="1:26">
      <c r="A733" s="100"/>
      <c r="B733" s="101"/>
      <c r="C733" s="100"/>
      <c r="D733" s="100"/>
      <c r="E733" s="100"/>
      <c r="F733" s="100"/>
      <c r="G733" s="100"/>
      <c r="H733" s="100"/>
      <c r="I733" s="100"/>
      <c r="J733" s="100"/>
      <c r="K733" s="100"/>
      <c r="L733" s="100"/>
      <c r="M733" s="100"/>
      <c r="N733" s="100"/>
      <c r="O733" s="100"/>
      <c r="P733" s="100"/>
      <c r="Q733" s="100"/>
      <c r="R733" s="100"/>
      <c r="S733" s="100"/>
      <c r="T733" s="100"/>
      <c r="U733" s="100"/>
      <c r="V733" s="100"/>
      <c r="W733" s="100"/>
      <c r="X733" s="100"/>
      <c r="Y733" s="100"/>
      <c r="Z733" s="100"/>
    </row>
    <row r="734" ht="15.75" customHeight="1" spans="1:26">
      <c r="A734" s="100"/>
      <c r="B734" s="101"/>
      <c r="C734" s="100"/>
      <c r="D734" s="100"/>
      <c r="E734" s="100"/>
      <c r="F734" s="100"/>
      <c r="G734" s="100"/>
      <c r="H734" s="100"/>
      <c r="I734" s="100"/>
      <c r="J734" s="100"/>
      <c r="K734" s="100"/>
      <c r="L734" s="100"/>
      <c r="M734" s="100"/>
      <c r="N734" s="100"/>
      <c r="O734" s="100"/>
      <c r="P734" s="100"/>
      <c r="Q734" s="100"/>
      <c r="R734" s="100"/>
      <c r="S734" s="100"/>
      <c r="T734" s="100"/>
      <c r="U734" s="100"/>
      <c r="V734" s="100"/>
      <c r="W734" s="100"/>
      <c r="X734" s="100"/>
      <c r="Y734" s="100"/>
      <c r="Z734" s="100"/>
    </row>
    <row r="735" ht="15.75" customHeight="1" spans="1:26">
      <c r="A735" s="100"/>
      <c r="B735" s="101"/>
      <c r="C735" s="100"/>
      <c r="D735" s="100"/>
      <c r="E735" s="100"/>
      <c r="F735" s="100"/>
      <c r="G735" s="100"/>
      <c r="H735" s="100"/>
      <c r="I735" s="100"/>
      <c r="J735" s="100"/>
      <c r="K735" s="100"/>
      <c r="L735" s="100"/>
      <c r="M735" s="100"/>
      <c r="N735" s="100"/>
      <c r="O735" s="100"/>
      <c r="P735" s="100"/>
      <c r="Q735" s="100"/>
      <c r="R735" s="100"/>
      <c r="S735" s="100"/>
      <c r="T735" s="100"/>
      <c r="U735" s="100"/>
      <c r="V735" s="100"/>
      <c r="W735" s="100"/>
      <c r="X735" s="100"/>
      <c r="Y735" s="100"/>
      <c r="Z735" s="100"/>
    </row>
    <row r="736" ht="15.75" customHeight="1" spans="1:26">
      <c r="A736" s="100"/>
      <c r="B736" s="101"/>
      <c r="C736" s="100"/>
      <c r="D736" s="100"/>
      <c r="E736" s="100"/>
      <c r="F736" s="100"/>
      <c r="G736" s="100"/>
      <c r="H736" s="100"/>
      <c r="I736" s="100"/>
      <c r="J736" s="100"/>
      <c r="K736" s="100"/>
      <c r="L736" s="100"/>
      <c r="M736" s="100"/>
      <c r="N736" s="100"/>
      <c r="O736" s="100"/>
      <c r="P736" s="100"/>
      <c r="Q736" s="100"/>
      <c r="R736" s="100"/>
      <c r="S736" s="100"/>
      <c r="T736" s="100"/>
      <c r="U736" s="100"/>
      <c r="V736" s="100"/>
      <c r="W736" s="100"/>
      <c r="X736" s="100"/>
      <c r="Y736" s="100"/>
      <c r="Z736" s="100"/>
    </row>
    <row r="737" ht="15.75" customHeight="1" spans="1:26">
      <c r="A737" s="100"/>
      <c r="B737" s="101"/>
      <c r="C737" s="100"/>
      <c r="D737" s="100"/>
      <c r="E737" s="100"/>
      <c r="F737" s="100"/>
      <c r="G737" s="100"/>
      <c r="H737" s="100"/>
      <c r="I737" s="100"/>
      <c r="J737" s="100"/>
      <c r="K737" s="100"/>
      <c r="L737" s="100"/>
      <c r="M737" s="100"/>
      <c r="N737" s="100"/>
      <c r="O737" s="100"/>
      <c r="P737" s="100"/>
      <c r="Q737" s="100"/>
      <c r="R737" s="100"/>
      <c r="S737" s="100"/>
      <c r="T737" s="100"/>
      <c r="U737" s="100"/>
      <c r="V737" s="100"/>
      <c r="W737" s="100"/>
      <c r="X737" s="100"/>
      <c r="Y737" s="100"/>
      <c r="Z737" s="100"/>
    </row>
    <row r="738" ht="15.75" customHeight="1" spans="1:26">
      <c r="A738" s="100"/>
      <c r="B738" s="101"/>
      <c r="C738" s="100"/>
      <c r="D738" s="100"/>
      <c r="E738" s="100"/>
      <c r="F738" s="100"/>
      <c r="G738" s="100"/>
      <c r="H738" s="100"/>
      <c r="I738" s="100"/>
      <c r="J738" s="100"/>
      <c r="K738" s="100"/>
      <c r="L738" s="100"/>
      <c r="M738" s="100"/>
      <c r="N738" s="100"/>
      <c r="O738" s="100"/>
      <c r="P738" s="100"/>
      <c r="Q738" s="100"/>
      <c r="R738" s="100"/>
      <c r="S738" s="100"/>
      <c r="T738" s="100"/>
      <c r="U738" s="100"/>
      <c r="V738" s="100"/>
      <c r="W738" s="100"/>
      <c r="X738" s="100"/>
      <c r="Y738" s="100"/>
      <c r="Z738" s="100"/>
    </row>
    <row r="739" ht="15.75" customHeight="1" spans="1:26">
      <c r="A739" s="100"/>
      <c r="B739" s="101"/>
      <c r="C739" s="100"/>
      <c r="D739" s="100"/>
      <c r="E739" s="100"/>
      <c r="F739" s="100"/>
      <c r="G739" s="100"/>
      <c r="H739" s="100"/>
      <c r="I739" s="100"/>
      <c r="J739" s="100"/>
      <c r="K739" s="100"/>
      <c r="L739" s="100"/>
      <c r="M739" s="100"/>
      <c r="N739" s="100"/>
      <c r="O739" s="100"/>
      <c r="P739" s="100"/>
      <c r="Q739" s="100"/>
      <c r="R739" s="100"/>
      <c r="S739" s="100"/>
      <c r="T739" s="100"/>
      <c r="U739" s="100"/>
      <c r="V739" s="100"/>
      <c r="W739" s="100"/>
      <c r="X739" s="100"/>
      <c r="Y739" s="100"/>
      <c r="Z739" s="100"/>
    </row>
    <row r="740" ht="15.75" customHeight="1" spans="1:26">
      <c r="A740" s="100"/>
      <c r="B740" s="101"/>
      <c r="C740" s="100"/>
      <c r="D740" s="100"/>
      <c r="E740" s="100"/>
      <c r="F740" s="100"/>
      <c r="G740" s="100"/>
      <c r="H740" s="100"/>
      <c r="I740" s="100"/>
      <c r="J740" s="100"/>
      <c r="K740" s="100"/>
      <c r="L740" s="100"/>
      <c r="M740" s="100"/>
      <c r="N740" s="100"/>
      <c r="O740" s="100"/>
      <c r="P740" s="100"/>
      <c r="Q740" s="100"/>
      <c r="R740" s="100"/>
      <c r="S740" s="100"/>
      <c r="T740" s="100"/>
      <c r="U740" s="100"/>
      <c r="V740" s="100"/>
      <c r="W740" s="100"/>
      <c r="X740" s="100"/>
      <c r="Y740" s="100"/>
      <c r="Z740" s="100"/>
    </row>
    <row r="741" ht="15.75" customHeight="1" spans="1:26">
      <c r="A741" s="100"/>
      <c r="B741" s="101"/>
      <c r="C741" s="100"/>
      <c r="D741" s="100"/>
      <c r="E741" s="100"/>
      <c r="F741" s="100"/>
      <c r="G741" s="100"/>
      <c r="H741" s="100"/>
      <c r="I741" s="100"/>
      <c r="J741" s="100"/>
      <c r="K741" s="100"/>
      <c r="L741" s="100"/>
      <c r="M741" s="100"/>
      <c r="N741" s="100"/>
      <c r="O741" s="100"/>
      <c r="P741" s="100"/>
      <c r="Q741" s="100"/>
      <c r="R741" s="100"/>
      <c r="S741" s="100"/>
      <c r="T741" s="100"/>
      <c r="U741" s="100"/>
      <c r="V741" s="100"/>
      <c r="W741" s="100"/>
      <c r="X741" s="100"/>
      <c r="Y741" s="100"/>
      <c r="Z741" s="100"/>
    </row>
    <row r="742" ht="15.75" customHeight="1" spans="1:26">
      <c r="A742" s="100"/>
      <c r="B742" s="101"/>
      <c r="C742" s="100"/>
      <c r="D742" s="100"/>
      <c r="E742" s="100"/>
      <c r="F742" s="100"/>
      <c r="G742" s="100"/>
      <c r="H742" s="100"/>
      <c r="I742" s="100"/>
      <c r="J742" s="100"/>
      <c r="K742" s="100"/>
      <c r="L742" s="100"/>
      <c r="M742" s="100"/>
      <c r="N742" s="100"/>
      <c r="O742" s="100"/>
      <c r="P742" s="100"/>
      <c r="Q742" s="100"/>
      <c r="R742" s="100"/>
      <c r="S742" s="100"/>
      <c r="T742" s="100"/>
      <c r="U742" s="100"/>
      <c r="V742" s="100"/>
      <c r="W742" s="100"/>
      <c r="X742" s="100"/>
      <c r="Y742" s="100"/>
      <c r="Z742" s="100"/>
    </row>
    <row r="743" ht="15.75" customHeight="1" spans="1:26">
      <c r="A743" s="100"/>
      <c r="B743" s="101"/>
      <c r="C743" s="100"/>
      <c r="D743" s="100"/>
      <c r="E743" s="100"/>
      <c r="F743" s="100"/>
      <c r="G743" s="100"/>
      <c r="H743" s="100"/>
      <c r="I743" s="100"/>
      <c r="J743" s="100"/>
      <c r="K743" s="100"/>
      <c r="L743" s="100"/>
      <c r="M743" s="100"/>
      <c r="N743" s="100"/>
      <c r="O743" s="100"/>
      <c r="P743" s="100"/>
      <c r="Q743" s="100"/>
      <c r="R743" s="100"/>
      <c r="S743" s="100"/>
      <c r="T743" s="100"/>
      <c r="U743" s="100"/>
      <c r="V743" s="100"/>
      <c r="W743" s="100"/>
      <c r="X743" s="100"/>
      <c r="Y743" s="100"/>
      <c r="Z743" s="100"/>
    </row>
    <row r="744" ht="15.75" customHeight="1" spans="1:26">
      <c r="A744" s="100"/>
      <c r="B744" s="101"/>
      <c r="C744" s="100"/>
      <c r="D744" s="100"/>
      <c r="E744" s="100"/>
      <c r="F744" s="100"/>
      <c r="G744" s="100"/>
      <c r="H744" s="100"/>
      <c r="I744" s="100"/>
      <c r="J744" s="100"/>
      <c r="K744" s="100"/>
      <c r="L744" s="100"/>
      <c r="M744" s="100"/>
      <c r="N744" s="100"/>
      <c r="O744" s="100"/>
      <c r="P744" s="100"/>
      <c r="Q744" s="100"/>
      <c r="R744" s="100"/>
      <c r="S744" s="100"/>
      <c r="T744" s="100"/>
      <c r="U744" s="100"/>
      <c r="V744" s="100"/>
      <c r="W744" s="100"/>
      <c r="X744" s="100"/>
      <c r="Y744" s="100"/>
      <c r="Z744" s="100"/>
    </row>
    <row r="745" ht="15.75" customHeight="1" spans="1:26">
      <c r="A745" s="100"/>
      <c r="B745" s="101"/>
      <c r="C745" s="100"/>
      <c r="D745" s="100"/>
      <c r="E745" s="100"/>
      <c r="F745" s="100"/>
      <c r="G745" s="100"/>
      <c r="H745" s="100"/>
      <c r="I745" s="100"/>
      <c r="J745" s="100"/>
      <c r="K745" s="100"/>
      <c r="L745" s="100"/>
      <c r="M745" s="100"/>
      <c r="N745" s="100"/>
      <c r="O745" s="100"/>
      <c r="P745" s="100"/>
      <c r="Q745" s="100"/>
      <c r="R745" s="100"/>
      <c r="S745" s="100"/>
      <c r="T745" s="100"/>
      <c r="U745" s="100"/>
      <c r="V745" s="100"/>
      <c r="W745" s="100"/>
      <c r="X745" s="100"/>
      <c r="Y745" s="100"/>
      <c r="Z745" s="100"/>
    </row>
    <row r="746" ht="15.75" customHeight="1" spans="1:26">
      <c r="A746" s="100"/>
      <c r="B746" s="101"/>
      <c r="C746" s="100"/>
      <c r="D746" s="100"/>
      <c r="E746" s="100"/>
      <c r="F746" s="100"/>
      <c r="G746" s="100"/>
      <c r="H746" s="100"/>
      <c r="I746" s="100"/>
      <c r="J746" s="100"/>
      <c r="K746" s="100"/>
      <c r="L746" s="100"/>
      <c r="M746" s="100"/>
      <c r="N746" s="100"/>
      <c r="O746" s="100"/>
      <c r="P746" s="100"/>
      <c r="Q746" s="100"/>
      <c r="R746" s="100"/>
      <c r="S746" s="100"/>
      <c r="T746" s="100"/>
      <c r="U746" s="100"/>
      <c r="V746" s="100"/>
      <c r="W746" s="100"/>
      <c r="X746" s="100"/>
      <c r="Y746" s="100"/>
      <c r="Z746" s="100"/>
    </row>
    <row r="747" ht="15.75" customHeight="1" spans="1:26">
      <c r="A747" s="100"/>
      <c r="B747" s="101"/>
      <c r="C747" s="100"/>
      <c r="D747" s="100"/>
      <c r="E747" s="100"/>
      <c r="F747" s="100"/>
      <c r="G747" s="100"/>
      <c r="H747" s="100"/>
      <c r="I747" s="100"/>
      <c r="J747" s="100"/>
      <c r="K747" s="100"/>
      <c r="L747" s="100"/>
      <c r="M747" s="100"/>
      <c r="N747" s="100"/>
      <c r="O747" s="100"/>
      <c r="P747" s="100"/>
      <c r="Q747" s="100"/>
      <c r="R747" s="100"/>
      <c r="S747" s="100"/>
      <c r="T747" s="100"/>
      <c r="U747" s="100"/>
      <c r="V747" s="100"/>
      <c r="W747" s="100"/>
      <c r="X747" s="100"/>
      <c r="Y747" s="100"/>
      <c r="Z747" s="100"/>
    </row>
    <row r="748" ht="15.75" customHeight="1" spans="1:26">
      <c r="A748" s="100"/>
      <c r="B748" s="101"/>
      <c r="C748" s="100"/>
      <c r="D748" s="100"/>
      <c r="E748" s="100"/>
      <c r="F748" s="100"/>
      <c r="G748" s="100"/>
      <c r="H748" s="100"/>
      <c r="I748" s="100"/>
      <c r="J748" s="100"/>
      <c r="K748" s="100"/>
      <c r="L748" s="100"/>
      <c r="M748" s="100"/>
      <c r="N748" s="100"/>
      <c r="O748" s="100"/>
      <c r="P748" s="100"/>
      <c r="Q748" s="100"/>
      <c r="R748" s="100"/>
      <c r="S748" s="100"/>
      <c r="T748" s="100"/>
      <c r="U748" s="100"/>
      <c r="V748" s="100"/>
      <c r="W748" s="100"/>
      <c r="X748" s="100"/>
      <c r="Y748" s="100"/>
      <c r="Z748" s="100"/>
    </row>
    <row r="749" ht="15.75" customHeight="1" spans="1:26">
      <c r="A749" s="100"/>
      <c r="B749" s="101"/>
      <c r="C749" s="100"/>
      <c r="D749" s="100"/>
      <c r="E749" s="100"/>
      <c r="F749" s="100"/>
      <c r="G749" s="100"/>
      <c r="H749" s="100"/>
      <c r="I749" s="100"/>
      <c r="J749" s="100"/>
      <c r="K749" s="100"/>
      <c r="L749" s="100"/>
      <c r="M749" s="100"/>
      <c r="N749" s="100"/>
      <c r="O749" s="100"/>
      <c r="P749" s="100"/>
      <c r="Q749" s="100"/>
      <c r="R749" s="100"/>
      <c r="S749" s="100"/>
      <c r="T749" s="100"/>
      <c r="U749" s="100"/>
      <c r="V749" s="100"/>
      <c r="W749" s="100"/>
      <c r="X749" s="100"/>
      <c r="Y749" s="100"/>
      <c r="Z749" s="100"/>
    </row>
    <row r="750" ht="15.75" customHeight="1" spans="1:26">
      <c r="A750" s="100"/>
      <c r="B750" s="101"/>
      <c r="C750" s="100"/>
      <c r="D750" s="100"/>
      <c r="E750" s="100"/>
      <c r="F750" s="100"/>
      <c r="G750" s="100"/>
      <c r="H750" s="100"/>
      <c r="I750" s="100"/>
      <c r="J750" s="100"/>
      <c r="K750" s="100"/>
      <c r="L750" s="100"/>
      <c r="M750" s="100"/>
      <c r="N750" s="100"/>
      <c r="O750" s="100"/>
      <c r="P750" s="100"/>
      <c r="Q750" s="100"/>
      <c r="R750" s="100"/>
      <c r="S750" s="100"/>
      <c r="T750" s="100"/>
      <c r="U750" s="100"/>
      <c r="V750" s="100"/>
      <c r="W750" s="100"/>
      <c r="X750" s="100"/>
      <c r="Y750" s="100"/>
      <c r="Z750" s="100"/>
    </row>
    <row r="751" ht="15.75" customHeight="1" spans="1:26">
      <c r="A751" s="100"/>
      <c r="B751" s="101"/>
      <c r="C751" s="100"/>
      <c r="D751" s="100"/>
      <c r="E751" s="100"/>
      <c r="F751" s="100"/>
      <c r="G751" s="100"/>
      <c r="H751" s="100"/>
      <c r="I751" s="100"/>
      <c r="J751" s="100"/>
      <c r="K751" s="100"/>
      <c r="L751" s="100"/>
      <c r="M751" s="100"/>
      <c r="N751" s="100"/>
      <c r="O751" s="100"/>
      <c r="P751" s="100"/>
      <c r="Q751" s="100"/>
      <c r="R751" s="100"/>
      <c r="S751" s="100"/>
      <c r="T751" s="100"/>
      <c r="U751" s="100"/>
      <c r="V751" s="100"/>
      <c r="W751" s="100"/>
      <c r="X751" s="100"/>
      <c r="Y751" s="100"/>
      <c r="Z751" s="100"/>
    </row>
    <row r="752" ht="15.75" customHeight="1" spans="1:26">
      <c r="A752" s="100"/>
      <c r="B752" s="101"/>
      <c r="C752" s="100"/>
      <c r="D752" s="100"/>
      <c r="E752" s="100"/>
      <c r="F752" s="100"/>
      <c r="G752" s="100"/>
      <c r="H752" s="100"/>
      <c r="I752" s="100"/>
      <c r="J752" s="100"/>
      <c r="K752" s="100"/>
      <c r="L752" s="100"/>
      <c r="M752" s="100"/>
      <c r="N752" s="100"/>
      <c r="O752" s="100"/>
      <c r="P752" s="100"/>
      <c r="Q752" s="100"/>
      <c r="R752" s="100"/>
      <c r="S752" s="100"/>
      <c r="T752" s="100"/>
      <c r="U752" s="100"/>
      <c r="V752" s="100"/>
      <c r="W752" s="100"/>
      <c r="X752" s="100"/>
      <c r="Y752" s="100"/>
      <c r="Z752" s="100"/>
    </row>
    <row r="753" ht="15.75" customHeight="1" spans="1:26">
      <c r="A753" s="100"/>
      <c r="B753" s="101"/>
      <c r="C753" s="100"/>
      <c r="D753" s="100"/>
      <c r="E753" s="100"/>
      <c r="F753" s="100"/>
      <c r="G753" s="100"/>
      <c r="H753" s="100"/>
      <c r="I753" s="100"/>
      <c r="J753" s="100"/>
      <c r="K753" s="100"/>
      <c r="L753" s="100"/>
      <c r="M753" s="100"/>
      <c r="N753" s="100"/>
      <c r="O753" s="100"/>
      <c r="P753" s="100"/>
      <c r="Q753" s="100"/>
      <c r="R753" s="100"/>
      <c r="S753" s="100"/>
      <c r="T753" s="100"/>
      <c r="U753" s="100"/>
      <c r="V753" s="100"/>
      <c r="W753" s="100"/>
      <c r="X753" s="100"/>
      <c r="Y753" s="100"/>
      <c r="Z753" s="100"/>
    </row>
    <row r="754" ht="15.75" customHeight="1" spans="1:26">
      <c r="A754" s="100"/>
      <c r="B754" s="101"/>
      <c r="C754" s="100"/>
      <c r="D754" s="100"/>
      <c r="E754" s="100"/>
      <c r="F754" s="100"/>
      <c r="G754" s="100"/>
      <c r="H754" s="100"/>
      <c r="I754" s="100"/>
      <c r="J754" s="100"/>
      <c r="K754" s="100"/>
      <c r="L754" s="100"/>
      <c r="M754" s="100"/>
      <c r="N754" s="100"/>
      <c r="O754" s="100"/>
      <c r="P754" s="100"/>
      <c r="Q754" s="100"/>
      <c r="R754" s="100"/>
      <c r="S754" s="100"/>
      <c r="T754" s="100"/>
      <c r="U754" s="100"/>
      <c r="V754" s="100"/>
      <c r="W754" s="100"/>
      <c r="X754" s="100"/>
      <c r="Y754" s="100"/>
      <c r="Z754" s="100"/>
    </row>
    <row r="755" ht="15.75" customHeight="1" spans="1:26">
      <c r="A755" s="100"/>
      <c r="B755" s="101"/>
      <c r="C755" s="100"/>
      <c r="D755" s="100"/>
      <c r="E755" s="100"/>
      <c r="F755" s="100"/>
      <c r="G755" s="100"/>
      <c r="H755" s="100"/>
      <c r="I755" s="100"/>
      <c r="J755" s="100"/>
      <c r="K755" s="100"/>
      <c r="L755" s="100"/>
      <c r="M755" s="100"/>
      <c r="N755" s="100"/>
      <c r="O755" s="100"/>
      <c r="P755" s="100"/>
      <c r="Q755" s="100"/>
      <c r="R755" s="100"/>
      <c r="S755" s="100"/>
      <c r="T755" s="100"/>
      <c r="U755" s="100"/>
      <c r="V755" s="100"/>
      <c r="W755" s="100"/>
      <c r="X755" s="100"/>
      <c r="Y755" s="100"/>
      <c r="Z755" s="100"/>
    </row>
    <row r="756" ht="15.75" customHeight="1" spans="1:26">
      <c r="A756" s="100"/>
      <c r="B756" s="101"/>
      <c r="C756" s="100"/>
      <c r="D756" s="100"/>
      <c r="E756" s="100"/>
      <c r="F756" s="100"/>
      <c r="G756" s="100"/>
      <c r="H756" s="100"/>
      <c r="I756" s="100"/>
      <c r="J756" s="100"/>
      <c r="K756" s="100"/>
      <c r="L756" s="100"/>
      <c r="M756" s="100"/>
      <c r="N756" s="100"/>
      <c r="O756" s="100"/>
      <c r="P756" s="100"/>
      <c r="Q756" s="100"/>
      <c r="R756" s="100"/>
      <c r="S756" s="100"/>
      <c r="T756" s="100"/>
      <c r="U756" s="100"/>
      <c r="V756" s="100"/>
      <c r="W756" s="100"/>
      <c r="X756" s="100"/>
      <c r="Y756" s="100"/>
      <c r="Z756" s="100"/>
    </row>
    <row r="757" ht="15.75" customHeight="1" spans="1:26">
      <c r="A757" s="100"/>
      <c r="B757" s="101"/>
      <c r="C757" s="100"/>
      <c r="D757" s="100"/>
      <c r="E757" s="100"/>
      <c r="F757" s="100"/>
      <c r="G757" s="100"/>
      <c r="H757" s="100"/>
      <c r="I757" s="100"/>
      <c r="J757" s="100"/>
      <c r="K757" s="100"/>
      <c r="L757" s="100"/>
      <c r="M757" s="100"/>
      <c r="N757" s="100"/>
      <c r="O757" s="100"/>
      <c r="P757" s="100"/>
      <c r="Q757" s="100"/>
      <c r="R757" s="100"/>
      <c r="S757" s="100"/>
      <c r="T757" s="100"/>
      <c r="U757" s="100"/>
      <c r="V757" s="100"/>
      <c r="W757" s="100"/>
      <c r="X757" s="100"/>
      <c r="Y757" s="100"/>
      <c r="Z757" s="100"/>
    </row>
    <row r="758" ht="15.75" customHeight="1" spans="1:26">
      <c r="A758" s="100"/>
      <c r="B758" s="101"/>
      <c r="C758" s="100"/>
      <c r="D758" s="100"/>
      <c r="E758" s="100"/>
      <c r="F758" s="100"/>
      <c r="G758" s="100"/>
      <c r="H758" s="100"/>
      <c r="I758" s="100"/>
      <c r="J758" s="100"/>
      <c r="K758" s="100"/>
      <c r="L758" s="100"/>
      <c r="M758" s="100"/>
      <c r="N758" s="100"/>
      <c r="O758" s="100"/>
      <c r="P758" s="100"/>
      <c r="Q758" s="100"/>
      <c r="R758" s="100"/>
      <c r="S758" s="100"/>
      <c r="T758" s="100"/>
      <c r="U758" s="100"/>
      <c r="V758" s="100"/>
      <c r="W758" s="100"/>
      <c r="X758" s="100"/>
      <c r="Y758" s="100"/>
      <c r="Z758" s="100"/>
    </row>
    <row r="759" ht="15.75" customHeight="1" spans="1:26">
      <c r="A759" s="100"/>
      <c r="B759" s="101"/>
      <c r="C759" s="100"/>
      <c r="D759" s="100"/>
      <c r="E759" s="100"/>
      <c r="F759" s="100"/>
      <c r="G759" s="100"/>
      <c r="H759" s="100"/>
      <c r="I759" s="100"/>
      <c r="J759" s="100"/>
      <c r="K759" s="100"/>
      <c r="L759" s="100"/>
      <c r="M759" s="100"/>
      <c r="N759" s="100"/>
      <c r="O759" s="100"/>
      <c r="P759" s="100"/>
      <c r="Q759" s="100"/>
      <c r="R759" s="100"/>
      <c r="S759" s="100"/>
      <c r="T759" s="100"/>
      <c r="U759" s="100"/>
      <c r="V759" s="100"/>
      <c r="W759" s="100"/>
      <c r="X759" s="100"/>
      <c r="Y759" s="100"/>
      <c r="Z759" s="100"/>
    </row>
    <row r="760" ht="15.75" customHeight="1" spans="1:26">
      <c r="A760" s="100"/>
      <c r="B760" s="101"/>
      <c r="C760" s="100"/>
      <c r="D760" s="100"/>
      <c r="E760" s="100"/>
      <c r="F760" s="100"/>
      <c r="G760" s="100"/>
      <c r="H760" s="100"/>
      <c r="I760" s="100"/>
      <c r="J760" s="100"/>
      <c r="K760" s="100"/>
      <c r="L760" s="100"/>
      <c r="M760" s="100"/>
      <c r="N760" s="100"/>
      <c r="O760" s="100"/>
      <c r="P760" s="100"/>
      <c r="Q760" s="100"/>
      <c r="R760" s="100"/>
      <c r="S760" s="100"/>
      <c r="T760" s="100"/>
      <c r="U760" s="100"/>
      <c r="V760" s="100"/>
      <c r="W760" s="100"/>
      <c r="X760" s="100"/>
      <c r="Y760" s="100"/>
      <c r="Z760" s="100"/>
    </row>
    <row r="761" ht="15.75" customHeight="1" spans="1:26">
      <c r="A761" s="100"/>
      <c r="B761" s="101"/>
      <c r="C761" s="100"/>
      <c r="D761" s="100"/>
      <c r="E761" s="100"/>
      <c r="F761" s="100"/>
      <c r="G761" s="100"/>
      <c r="H761" s="100"/>
      <c r="I761" s="100"/>
      <c r="J761" s="100"/>
      <c r="K761" s="100"/>
      <c r="L761" s="100"/>
      <c r="M761" s="100"/>
      <c r="N761" s="100"/>
      <c r="O761" s="100"/>
      <c r="P761" s="100"/>
      <c r="Q761" s="100"/>
      <c r="R761" s="100"/>
      <c r="S761" s="100"/>
      <c r="T761" s="100"/>
      <c r="U761" s="100"/>
      <c r="V761" s="100"/>
      <c r="W761" s="100"/>
      <c r="X761" s="100"/>
      <c r="Y761" s="100"/>
      <c r="Z761" s="100"/>
    </row>
    <row r="762" ht="15.75" customHeight="1" spans="1:26">
      <c r="A762" s="100"/>
      <c r="B762" s="101"/>
      <c r="C762" s="100"/>
      <c r="D762" s="100"/>
      <c r="E762" s="100"/>
      <c r="F762" s="100"/>
      <c r="G762" s="100"/>
      <c r="H762" s="100"/>
      <c r="I762" s="100"/>
      <c r="J762" s="100"/>
      <c r="K762" s="100"/>
      <c r="L762" s="100"/>
      <c r="M762" s="100"/>
      <c r="N762" s="100"/>
      <c r="O762" s="100"/>
      <c r="P762" s="100"/>
      <c r="Q762" s="100"/>
      <c r="R762" s="100"/>
      <c r="S762" s="100"/>
      <c r="T762" s="100"/>
      <c r="U762" s="100"/>
      <c r="V762" s="100"/>
      <c r="W762" s="100"/>
      <c r="X762" s="100"/>
      <c r="Y762" s="100"/>
      <c r="Z762" s="100"/>
    </row>
    <row r="763" ht="15.75" customHeight="1" spans="1:26">
      <c r="A763" s="100"/>
      <c r="B763" s="101"/>
      <c r="C763" s="100"/>
      <c r="D763" s="100"/>
      <c r="E763" s="100"/>
      <c r="F763" s="100"/>
      <c r="G763" s="100"/>
      <c r="H763" s="100"/>
      <c r="I763" s="100"/>
      <c r="J763" s="100"/>
      <c r="K763" s="100"/>
      <c r="L763" s="100"/>
      <c r="M763" s="100"/>
      <c r="N763" s="100"/>
      <c r="O763" s="100"/>
      <c r="P763" s="100"/>
      <c r="Q763" s="100"/>
      <c r="R763" s="100"/>
      <c r="S763" s="100"/>
      <c r="T763" s="100"/>
      <c r="U763" s="100"/>
      <c r="V763" s="100"/>
      <c r="W763" s="100"/>
      <c r="X763" s="100"/>
      <c r="Y763" s="100"/>
      <c r="Z763" s="100"/>
    </row>
    <row r="764" ht="15.75" customHeight="1" spans="1:26">
      <c r="A764" s="100"/>
      <c r="B764" s="101"/>
      <c r="C764" s="100"/>
      <c r="D764" s="100"/>
      <c r="E764" s="100"/>
      <c r="F764" s="100"/>
      <c r="G764" s="100"/>
      <c r="H764" s="100"/>
      <c r="I764" s="100"/>
      <c r="J764" s="100"/>
      <c r="K764" s="100"/>
      <c r="L764" s="100"/>
      <c r="M764" s="100"/>
      <c r="N764" s="100"/>
      <c r="O764" s="100"/>
      <c r="P764" s="100"/>
      <c r="Q764" s="100"/>
      <c r="R764" s="100"/>
      <c r="S764" s="100"/>
      <c r="T764" s="100"/>
      <c r="U764" s="100"/>
      <c r="V764" s="100"/>
      <c r="W764" s="100"/>
      <c r="X764" s="100"/>
      <c r="Y764" s="100"/>
      <c r="Z764" s="100"/>
    </row>
    <row r="765" ht="15.75" customHeight="1" spans="1:26">
      <c r="A765" s="100"/>
      <c r="B765" s="101"/>
      <c r="C765" s="100"/>
      <c r="D765" s="100"/>
      <c r="E765" s="100"/>
      <c r="F765" s="100"/>
      <c r="G765" s="100"/>
      <c r="H765" s="100"/>
      <c r="I765" s="100"/>
      <c r="J765" s="100"/>
      <c r="K765" s="100"/>
      <c r="L765" s="100"/>
      <c r="M765" s="100"/>
      <c r="N765" s="100"/>
      <c r="O765" s="100"/>
      <c r="P765" s="100"/>
      <c r="Q765" s="100"/>
      <c r="R765" s="100"/>
      <c r="S765" s="100"/>
      <c r="T765" s="100"/>
      <c r="U765" s="100"/>
      <c r="V765" s="100"/>
      <c r="W765" s="100"/>
      <c r="X765" s="100"/>
      <c r="Y765" s="100"/>
      <c r="Z765" s="100"/>
    </row>
    <row r="766" ht="15.75" customHeight="1" spans="1:26">
      <c r="A766" s="100"/>
      <c r="B766" s="101"/>
      <c r="C766" s="100"/>
      <c r="D766" s="100"/>
      <c r="E766" s="100"/>
      <c r="F766" s="100"/>
      <c r="G766" s="100"/>
      <c r="H766" s="100"/>
      <c r="I766" s="100"/>
      <c r="J766" s="100"/>
      <c r="K766" s="100"/>
      <c r="L766" s="100"/>
      <c r="M766" s="100"/>
      <c r="N766" s="100"/>
      <c r="O766" s="100"/>
      <c r="P766" s="100"/>
      <c r="Q766" s="100"/>
      <c r="R766" s="100"/>
      <c r="S766" s="100"/>
      <c r="T766" s="100"/>
      <c r="U766" s="100"/>
      <c r="V766" s="100"/>
      <c r="W766" s="100"/>
      <c r="X766" s="100"/>
      <c r="Y766" s="100"/>
      <c r="Z766" s="100"/>
    </row>
    <row r="767" ht="15.75" customHeight="1" spans="1:26">
      <c r="A767" s="100"/>
      <c r="B767" s="101"/>
      <c r="C767" s="100"/>
      <c r="D767" s="100"/>
      <c r="E767" s="100"/>
      <c r="F767" s="100"/>
      <c r="G767" s="100"/>
      <c r="H767" s="100"/>
      <c r="I767" s="100"/>
      <c r="J767" s="100"/>
      <c r="K767" s="100"/>
      <c r="L767" s="100"/>
      <c r="M767" s="100"/>
      <c r="N767" s="100"/>
      <c r="O767" s="100"/>
      <c r="P767" s="100"/>
      <c r="Q767" s="100"/>
      <c r="R767" s="100"/>
      <c r="S767" s="100"/>
      <c r="T767" s="100"/>
      <c r="U767" s="100"/>
      <c r="V767" s="100"/>
      <c r="W767" s="100"/>
      <c r="X767" s="100"/>
      <c r="Y767" s="100"/>
      <c r="Z767" s="100"/>
    </row>
    <row r="768" ht="15.75" customHeight="1" spans="1:26">
      <c r="A768" s="100"/>
      <c r="B768" s="101"/>
      <c r="C768" s="100"/>
      <c r="D768" s="100"/>
      <c r="E768" s="100"/>
      <c r="F768" s="100"/>
      <c r="G768" s="100"/>
      <c r="H768" s="100"/>
      <c r="I768" s="100"/>
      <c r="J768" s="100"/>
      <c r="K768" s="100"/>
      <c r="L768" s="100"/>
      <c r="M768" s="100"/>
      <c r="N768" s="100"/>
      <c r="O768" s="100"/>
      <c r="P768" s="100"/>
      <c r="Q768" s="100"/>
      <c r="R768" s="100"/>
      <c r="S768" s="100"/>
      <c r="T768" s="100"/>
      <c r="U768" s="100"/>
      <c r="V768" s="100"/>
      <c r="W768" s="100"/>
      <c r="X768" s="100"/>
      <c r="Y768" s="100"/>
      <c r="Z768" s="100"/>
    </row>
    <row r="769" ht="15.75" customHeight="1" spans="1:26">
      <c r="A769" s="100"/>
      <c r="B769" s="101"/>
      <c r="C769" s="100"/>
      <c r="D769" s="100"/>
      <c r="E769" s="100"/>
      <c r="F769" s="100"/>
      <c r="G769" s="100"/>
      <c r="H769" s="100"/>
      <c r="I769" s="100"/>
      <c r="J769" s="100"/>
      <c r="K769" s="100"/>
      <c r="L769" s="100"/>
      <c r="M769" s="100"/>
      <c r="N769" s="100"/>
      <c r="O769" s="100"/>
      <c r="P769" s="100"/>
      <c r="Q769" s="100"/>
      <c r="R769" s="100"/>
      <c r="S769" s="100"/>
      <c r="T769" s="100"/>
      <c r="U769" s="100"/>
      <c r="V769" s="100"/>
      <c r="W769" s="100"/>
      <c r="X769" s="100"/>
      <c r="Y769" s="100"/>
      <c r="Z769" s="100"/>
    </row>
    <row r="770" ht="15.75" customHeight="1" spans="1:26">
      <c r="A770" s="100"/>
      <c r="B770" s="101"/>
      <c r="C770" s="100"/>
      <c r="D770" s="100"/>
      <c r="E770" s="100"/>
      <c r="F770" s="100"/>
      <c r="G770" s="100"/>
      <c r="H770" s="100"/>
      <c r="I770" s="100"/>
      <c r="J770" s="100"/>
      <c r="K770" s="100"/>
      <c r="L770" s="100"/>
      <c r="M770" s="100"/>
      <c r="N770" s="100"/>
      <c r="O770" s="100"/>
      <c r="P770" s="100"/>
      <c r="Q770" s="100"/>
      <c r="R770" s="100"/>
      <c r="S770" s="100"/>
      <c r="T770" s="100"/>
      <c r="U770" s="100"/>
      <c r="V770" s="100"/>
      <c r="W770" s="100"/>
      <c r="X770" s="100"/>
      <c r="Y770" s="100"/>
      <c r="Z770" s="100"/>
    </row>
    <row r="771" ht="15.75" customHeight="1" spans="1:26">
      <c r="A771" s="100"/>
      <c r="B771" s="101"/>
      <c r="C771" s="100"/>
      <c r="D771" s="100"/>
      <c r="E771" s="100"/>
      <c r="F771" s="100"/>
      <c r="G771" s="100"/>
      <c r="H771" s="100"/>
      <c r="I771" s="100"/>
      <c r="J771" s="100"/>
      <c r="K771" s="100"/>
      <c r="L771" s="100"/>
      <c r="M771" s="100"/>
      <c r="N771" s="100"/>
      <c r="O771" s="100"/>
      <c r="P771" s="100"/>
      <c r="Q771" s="100"/>
      <c r="R771" s="100"/>
      <c r="S771" s="100"/>
      <c r="T771" s="100"/>
      <c r="U771" s="100"/>
      <c r="V771" s="100"/>
      <c r="W771" s="100"/>
      <c r="X771" s="100"/>
      <c r="Y771" s="100"/>
      <c r="Z771" s="100"/>
    </row>
    <row r="772" ht="15.75" customHeight="1" spans="1:26">
      <c r="A772" s="100"/>
      <c r="B772" s="101"/>
      <c r="C772" s="100"/>
      <c r="D772" s="100"/>
      <c r="E772" s="100"/>
      <c r="F772" s="100"/>
      <c r="G772" s="100"/>
      <c r="H772" s="100"/>
      <c r="I772" s="100"/>
      <c r="J772" s="100"/>
      <c r="K772" s="100"/>
      <c r="L772" s="100"/>
      <c r="M772" s="100"/>
      <c r="N772" s="100"/>
      <c r="O772" s="100"/>
      <c r="P772" s="100"/>
      <c r="Q772" s="100"/>
      <c r="R772" s="100"/>
      <c r="S772" s="100"/>
      <c r="T772" s="100"/>
      <c r="U772" s="100"/>
      <c r="V772" s="100"/>
      <c r="W772" s="100"/>
      <c r="X772" s="100"/>
      <c r="Y772" s="100"/>
      <c r="Z772" s="100"/>
    </row>
    <row r="773" ht="15.75" customHeight="1" spans="1:26">
      <c r="A773" s="100"/>
      <c r="B773" s="101"/>
      <c r="C773" s="100"/>
      <c r="D773" s="100"/>
      <c r="E773" s="100"/>
      <c r="F773" s="100"/>
      <c r="G773" s="100"/>
      <c r="H773" s="100"/>
      <c r="I773" s="100"/>
      <c r="J773" s="100"/>
      <c r="K773" s="100"/>
      <c r="L773" s="100"/>
      <c r="M773" s="100"/>
      <c r="N773" s="100"/>
      <c r="O773" s="100"/>
      <c r="P773" s="100"/>
      <c r="Q773" s="100"/>
      <c r="R773" s="100"/>
      <c r="S773" s="100"/>
      <c r="T773" s="100"/>
      <c r="U773" s="100"/>
      <c r="V773" s="100"/>
      <c r="W773" s="100"/>
      <c r="X773" s="100"/>
      <c r="Y773" s="100"/>
      <c r="Z773" s="100"/>
    </row>
    <row r="774" ht="15.75" customHeight="1" spans="1:26">
      <c r="A774" s="100"/>
      <c r="B774" s="101"/>
      <c r="C774" s="100"/>
      <c r="D774" s="100"/>
      <c r="E774" s="100"/>
      <c r="F774" s="100"/>
      <c r="G774" s="100"/>
      <c r="H774" s="100"/>
      <c r="I774" s="100"/>
      <c r="J774" s="100"/>
      <c r="K774" s="100"/>
      <c r="L774" s="100"/>
      <c r="M774" s="100"/>
      <c r="N774" s="100"/>
      <c r="O774" s="100"/>
      <c r="P774" s="100"/>
      <c r="Q774" s="100"/>
      <c r="R774" s="100"/>
      <c r="S774" s="100"/>
      <c r="T774" s="100"/>
      <c r="U774" s="100"/>
      <c r="V774" s="100"/>
      <c r="W774" s="100"/>
      <c r="X774" s="100"/>
      <c r="Y774" s="100"/>
      <c r="Z774" s="100"/>
    </row>
    <row r="775" ht="15.75" customHeight="1" spans="1:26">
      <c r="A775" s="100"/>
      <c r="B775" s="101"/>
      <c r="C775" s="100"/>
      <c r="D775" s="100"/>
      <c r="E775" s="100"/>
      <c r="F775" s="100"/>
      <c r="G775" s="100"/>
      <c r="H775" s="100"/>
      <c r="I775" s="100"/>
      <c r="J775" s="100"/>
      <c r="K775" s="100"/>
      <c r="L775" s="100"/>
      <c r="M775" s="100"/>
      <c r="N775" s="100"/>
      <c r="O775" s="100"/>
      <c r="P775" s="100"/>
      <c r="Q775" s="100"/>
      <c r="R775" s="100"/>
      <c r="S775" s="100"/>
      <c r="T775" s="100"/>
      <c r="U775" s="100"/>
      <c r="V775" s="100"/>
      <c r="W775" s="100"/>
      <c r="X775" s="100"/>
      <c r="Y775" s="100"/>
      <c r="Z775" s="100"/>
    </row>
    <row r="776" ht="15.75" customHeight="1" spans="1:26">
      <c r="A776" s="100"/>
      <c r="B776" s="101"/>
      <c r="C776" s="100"/>
      <c r="D776" s="100"/>
      <c r="E776" s="100"/>
      <c r="F776" s="100"/>
      <c r="G776" s="100"/>
      <c r="H776" s="100"/>
      <c r="I776" s="100"/>
      <c r="J776" s="100"/>
      <c r="K776" s="100"/>
      <c r="L776" s="100"/>
      <c r="M776" s="100"/>
      <c r="N776" s="100"/>
      <c r="O776" s="100"/>
      <c r="P776" s="100"/>
      <c r="Q776" s="100"/>
      <c r="R776" s="100"/>
      <c r="S776" s="100"/>
      <c r="T776" s="100"/>
      <c r="U776" s="100"/>
      <c r="V776" s="100"/>
      <c r="W776" s="100"/>
      <c r="X776" s="100"/>
      <c r="Y776" s="100"/>
      <c r="Z776" s="100"/>
    </row>
    <row r="777" ht="15.75" customHeight="1" spans="1:26">
      <c r="A777" s="100"/>
      <c r="B777" s="101"/>
      <c r="C777" s="100"/>
      <c r="D777" s="100"/>
      <c r="E777" s="100"/>
      <c r="F777" s="100"/>
      <c r="G777" s="100"/>
      <c r="H777" s="100"/>
      <c r="I777" s="100"/>
      <c r="J777" s="100"/>
      <c r="K777" s="100"/>
      <c r="L777" s="100"/>
      <c r="M777" s="100"/>
      <c r="N777" s="100"/>
      <c r="O777" s="100"/>
      <c r="P777" s="100"/>
      <c r="Q777" s="100"/>
      <c r="R777" s="100"/>
      <c r="S777" s="100"/>
      <c r="T777" s="100"/>
      <c r="U777" s="100"/>
      <c r="V777" s="100"/>
      <c r="W777" s="100"/>
      <c r="X777" s="100"/>
      <c r="Y777" s="100"/>
      <c r="Z777" s="100"/>
    </row>
    <row r="778" ht="15.75" customHeight="1" spans="1:26">
      <c r="A778" s="100"/>
      <c r="B778" s="101"/>
      <c r="C778" s="100"/>
      <c r="D778" s="100"/>
      <c r="E778" s="100"/>
      <c r="F778" s="100"/>
      <c r="G778" s="100"/>
      <c r="H778" s="100"/>
      <c r="I778" s="100"/>
      <c r="J778" s="100"/>
      <c r="K778" s="100"/>
      <c r="L778" s="100"/>
      <c r="M778" s="100"/>
      <c r="N778" s="100"/>
      <c r="O778" s="100"/>
      <c r="P778" s="100"/>
      <c r="Q778" s="100"/>
      <c r="R778" s="100"/>
      <c r="S778" s="100"/>
      <c r="T778" s="100"/>
      <c r="U778" s="100"/>
      <c r="V778" s="100"/>
      <c r="W778" s="100"/>
      <c r="X778" s="100"/>
      <c r="Y778" s="100"/>
      <c r="Z778" s="100"/>
    </row>
    <row r="779" ht="15.75" customHeight="1" spans="1:26">
      <c r="A779" s="100"/>
      <c r="B779" s="101"/>
      <c r="C779" s="100"/>
      <c r="D779" s="100"/>
      <c r="E779" s="100"/>
      <c r="F779" s="100"/>
      <c r="G779" s="100"/>
      <c r="H779" s="100"/>
      <c r="I779" s="100"/>
      <c r="J779" s="100"/>
      <c r="K779" s="100"/>
      <c r="L779" s="100"/>
      <c r="M779" s="100"/>
      <c r="N779" s="100"/>
      <c r="O779" s="100"/>
      <c r="P779" s="100"/>
      <c r="Q779" s="100"/>
      <c r="R779" s="100"/>
      <c r="S779" s="100"/>
      <c r="T779" s="100"/>
      <c r="U779" s="100"/>
      <c r="V779" s="100"/>
      <c r="W779" s="100"/>
      <c r="X779" s="100"/>
      <c r="Y779" s="100"/>
      <c r="Z779" s="100"/>
    </row>
    <row r="780" ht="15.75" customHeight="1" spans="1:26">
      <c r="A780" s="100"/>
      <c r="B780" s="101"/>
      <c r="C780" s="100"/>
      <c r="D780" s="100"/>
      <c r="E780" s="100"/>
      <c r="F780" s="100"/>
      <c r="G780" s="100"/>
      <c r="H780" s="100"/>
      <c r="I780" s="100"/>
      <c r="J780" s="100"/>
      <c r="K780" s="100"/>
      <c r="L780" s="100"/>
      <c r="M780" s="100"/>
      <c r="N780" s="100"/>
      <c r="O780" s="100"/>
      <c r="P780" s="100"/>
      <c r="Q780" s="100"/>
      <c r="R780" s="100"/>
      <c r="S780" s="100"/>
      <c r="T780" s="100"/>
      <c r="U780" s="100"/>
      <c r="V780" s="100"/>
      <c r="W780" s="100"/>
      <c r="X780" s="100"/>
      <c r="Y780" s="100"/>
      <c r="Z780" s="100"/>
    </row>
    <row r="781" ht="15.75" customHeight="1" spans="1:26">
      <c r="A781" s="100"/>
      <c r="B781" s="101"/>
      <c r="C781" s="100"/>
      <c r="D781" s="100"/>
      <c r="E781" s="100"/>
      <c r="F781" s="100"/>
      <c r="G781" s="100"/>
      <c r="H781" s="100"/>
      <c r="I781" s="100"/>
      <c r="J781" s="100"/>
      <c r="K781" s="100"/>
      <c r="L781" s="100"/>
      <c r="M781" s="100"/>
      <c r="N781" s="100"/>
      <c r="O781" s="100"/>
      <c r="P781" s="100"/>
      <c r="Q781" s="100"/>
      <c r="R781" s="100"/>
      <c r="S781" s="100"/>
      <c r="T781" s="100"/>
      <c r="U781" s="100"/>
      <c r="V781" s="100"/>
      <c r="W781" s="100"/>
      <c r="X781" s="100"/>
      <c r="Y781" s="100"/>
      <c r="Z781" s="100"/>
    </row>
    <row r="782" ht="15.75" customHeight="1" spans="1:26">
      <c r="A782" s="100"/>
      <c r="B782" s="101"/>
      <c r="C782" s="100"/>
      <c r="D782" s="100"/>
      <c r="E782" s="100"/>
      <c r="F782" s="100"/>
      <c r="G782" s="100"/>
      <c r="H782" s="100"/>
      <c r="I782" s="100"/>
      <c r="J782" s="100"/>
      <c r="K782" s="100"/>
      <c r="L782" s="100"/>
      <c r="M782" s="100"/>
      <c r="N782" s="100"/>
      <c r="O782" s="100"/>
      <c r="P782" s="100"/>
      <c r="Q782" s="100"/>
      <c r="R782" s="100"/>
      <c r="S782" s="100"/>
      <c r="T782" s="100"/>
      <c r="U782" s="100"/>
      <c r="V782" s="100"/>
      <c r="W782" s="100"/>
      <c r="X782" s="100"/>
      <c r="Y782" s="100"/>
      <c r="Z782" s="100"/>
    </row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Z1000"/>
  <sheetViews>
    <sheetView workbookViewId="0">
      <pane ySplit="1" topLeftCell="A2" activePane="bottomLeft" state="frozen"/>
      <selection/>
      <selection pane="bottomLeft" activeCell="B3" sqref="B3"/>
    </sheetView>
  </sheetViews>
  <sheetFormatPr defaultColWidth="14.43" defaultRowHeight="15" customHeight="1"/>
  <cols>
    <col min="1" max="1" width="20.57" customWidth="1"/>
    <col min="2" max="2" width="18.14" customWidth="1"/>
    <col min="3" max="3" width="16.43" customWidth="1"/>
    <col min="4" max="4" width="20.86" customWidth="1"/>
    <col min="5" max="5" width="34.57" customWidth="1"/>
    <col min="6" max="6" width="9.57" customWidth="1"/>
    <col min="7" max="7" width="54.14" customWidth="1"/>
    <col min="8" max="8" width="30.57" customWidth="1"/>
    <col min="9" max="26" width="31.71" hidden="1" customWidth="1"/>
  </cols>
  <sheetData>
    <row r="1" ht="29" spans="1:26">
      <c r="A1" s="92" t="s">
        <v>14</v>
      </c>
      <c r="B1" s="93" t="s">
        <v>6</v>
      </c>
      <c r="C1" s="93" t="s">
        <v>15</v>
      </c>
      <c r="D1" s="93" t="s">
        <v>16</v>
      </c>
      <c r="E1" s="93" t="s">
        <v>10</v>
      </c>
      <c r="F1" s="94" t="s">
        <v>17</v>
      </c>
      <c r="G1" s="94" t="s">
        <v>18</v>
      </c>
      <c r="H1" s="94" t="s">
        <v>1</v>
      </c>
      <c r="I1" s="93"/>
      <c r="J1" s="95"/>
      <c r="K1" s="95"/>
      <c r="L1" s="95"/>
      <c r="M1" s="95"/>
      <c r="N1" s="95"/>
      <c r="O1" s="95"/>
      <c r="P1" s="95"/>
      <c r="Q1" s="95"/>
      <c r="R1" s="95"/>
      <c r="S1" s="95"/>
      <c r="T1" s="95"/>
      <c r="U1" s="95"/>
      <c r="V1" s="95"/>
      <c r="W1" s="95"/>
      <c r="X1" s="95"/>
      <c r="Y1" s="95"/>
      <c r="Z1" s="95"/>
    </row>
    <row r="2" ht="13" spans="1:26">
      <c r="A2" s="95" t="str">
        <f>dados_01!A2</f>
        <v>24/03/2026 13:31:53</v>
      </c>
      <c r="B2" s="95" t="str">
        <f>dados_01!B2</f>
        <v>1</v>
      </c>
      <c r="C2" s="95" t="str">
        <f>IFERROR(__xludf.DUMMYFUNCTION("JOIN("". "", ARRAYFORMULA(IFERROR(LEFT(SPLIT(dados_01!C2, "" ""), 1))))"),"M. E. S. F. D. S")</f>
        <v>M. E. S. F. D. S</v>
      </c>
      <c r="D2" s="95" t="str">
        <f>dados_01!D2</f>
        <v>09/06/2024</v>
      </c>
      <c r="E2" s="95" t="str">
        <f>CONCATENATE(LEFT(dados_01!E2,3),REPT("*",6),RIGHT(dados_01!E2,2))</f>
        <v>004******90</v>
      </c>
      <c r="F2" s="95" t="str">
        <f>dados_01!F2</f>
        <v>INFANTIL 1</v>
      </c>
      <c r="G2" s="95" t="str">
        <f>dados_01!G2</f>
        <v>CEMEI DR. PAULO MENDES</v>
      </c>
      <c r="H2" s="95" t="str">
        <f>dados_01!H2</f>
        <v>REGIONAL 7</v>
      </c>
      <c r="I2" s="95">
        <f>dados_01!I2</f>
        <v>0</v>
      </c>
      <c r="J2" s="95"/>
      <c r="K2" s="95"/>
      <c r="L2" s="95"/>
      <c r="M2" s="95"/>
      <c r="N2" s="95"/>
      <c r="O2" s="95"/>
      <c r="P2" s="95"/>
      <c r="Q2" s="95"/>
      <c r="R2" s="95"/>
      <c r="S2" s="95"/>
      <c r="T2" s="95"/>
      <c r="U2" s="95"/>
      <c r="V2" s="95"/>
      <c r="W2" s="95"/>
      <c r="X2" s="95"/>
      <c r="Y2" s="95"/>
      <c r="Z2" s="95"/>
    </row>
    <row r="3" ht="13" spans="1:26">
      <c r="A3" s="95" t="str">
        <f>dados_01!A3</f>
        <v>27/03/2026 12:51:51</v>
      </c>
      <c r="B3" s="95" t="str">
        <f>dados_01!B3</f>
        <v>2</v>
      </c>
      <c r="C3" s="95" t="str">
        <f>IFERROR(__xludf.DUMMYFUNCTION("JOIN("". "", ARRAYFORMULA(IFERROR(LEFT(SPLIT(dados_01!C3, "" ""), 1))))"),"O. B. D. S. L")</f>
        <v>O. B. D. S. L</v>
      </c>
      <c r="D3" s="95" t="str">
        <f>dados_01!D3</f>
        <v>13/11/2025</v>
      </c>
      <c r="E3" s="95" t="str">
        <f>CONCATENATE(LEFT(dados_01!E3,3),REPT("*",6),RIGHT(dados_01!E3,2))</f>
        <v>022******00</v>
      </c>
      <c r="F3" s="95" t="str">
        <f>dados_01!F3</f>
        <v>INFANTIL 1</v>
      </c>
      <c r="G3" s="95" t="str">
        <f>dados_01!G3</f>
        <v>CEMEI DR. PAULO MENDES</v>
      </c>
      <c r="H3" s="95" t="str">
        <f>dados_01!H3</f>
        <v>REGIONAL 7</v>
      </c>
      <c r="I3" s="95">
        <f>dados_01!I3</f>
        <v>0</v>
      </c>
      <c r="J3" s="95"/>
      <c r="K3" s="95"/>
      <c r="L3" s="95"/>
      <c r="M3" s="95"/>
      <c r="N3" s="95"/>
      <c r="O3" s="95"/>
      <c r="P3" s="95"/>
      <c r="Q3" s="95"/>
      <c r="R3" s="95"/>
      <c r="S3" s="95"/>
      <c r="T3" s="95"/>
      <c r="U3" s="95"/>
      <c r="V3" s="95"/>
      <c r="W3" s="95"/>
      <c r="X3" s="95"/>
      <c r="Y3" s="95"/>
      <c r="Z3" s="95"/>
    </row>
    <row r="4" ht="13" spans="1:26">
      <c r="A4" s="95" t="str">
        <f>dados_01!A4</f>
        <v>21/05/2026 11:32:39</v>
      </c>
      <c r="B4" s="95" t="str">
        <f>dados_01!B4</f>
        <v>3</v>
      </c>
      <c r="C4" s="95" t="str">
        <f>IFERROR(__xludf.DUMMYFUNCTION("JOIN("". "", ARRAYFORMULA(IFERROR(LEFT(SPLIT(dados_01!C4, "" ""), 1))))"),"K. H. D. A. S")</f>
        <v>K. H. D. A. S</v>
      </c>
      <c r="D4" s="95" t="str">
        <f>dados_01!D4</f>
        <v>01/04/2024</v>
      </c>
      <c r="E4" s="95" t="str">
        <f>CONCATENATE(LEFT(dados_01!E4,3),REPT("*",6),RIGHT(dados_01!E4,2))</f>
        <v>002******69</v>
      </c>
      <c r="F4" s="95" t="str">
        <f>dados_01!F4</f>
        <v>INFANTIL 1</v>
      </c>
      <c r="G4" s="95" t="str">
        <f>dados_01!G4</f>
        <v>CEMEI DR. PAULO MENDES</v>
      </c>
      <c r="H4" s="95" t="str">
        <f>dados_01!H4</f>
        <v>REGIONAL 7</v>
      </c>
      <c r="I4" s="95">
        <f>dados_01!I4</f>
        <v>0</v>
      </c>
      <c r="J4" s="95"/>
      <c r="K4" s="95"/>
      <c r="L4" s="95"/>
      <c r="M4" s="95"/>
      <c r="N4" s="95"/>
      <c r="O4" s="95"/>
      <c r="P4" s="95"/>
      <c r="Q4" s="95"/>
      <c r="R4" s="95"/>
      <c r="S4" s="95"/>
      <c r="T4" s="95"/>
      <c r="U4" s="95"/>
      <c r="V4" s="95"/>
      <c r="W4" s="95"/>
      <c r="X4" s="95"/>
      <c r="Y4" s="95"/>
      <c r="Z4" s="95"/>
    </row>
    <row r="5" ht="13" spans="1:26">
      <c r="A5" s="95" t="str">
        <f>dados_01!A5</f>
        <v>22/05/2026 09:22:30</v>
      </c>
      <c r="B5" s="95" t="str">
        <f>dados_01!B5</f>
        <v>4</v>
      </c>
      <c r="C5" s="95" t="str">
        <f>IFERROR(__xludf.DUMMYFUNCTION("JOIN("". "", ARRAYFORMULA(IFERROR(LEFT(SPLIT(dados_01!C5, "" ""), 1))))"),"A. E. M. d. S")</f>
        <v>A. E. M. d. S</v>
      </c>
      <c r="D5" s="95" t="str">
        <f>dados_01!D5</f>
        <v>27/07/2024</v>
      </c>
      <c r="E5" s="95" t="str">
        <f>CONCATENATE(LEFT(dados_01!E5,3),REPT("*",6),RIGHT(dados_01!E5,2))</f>
        <v>003******46</v>
      </c>
      <c r="F5" s="95" t="str">
        <f>dados_01!F5</f>
        <v>INFANTIL 1</v>
      </c>
      <c r="G5" s="95" t="str">
        <f>dados_01!G5</f>
        <v>CEMEI DR. PAULO MENDES</v>
      </c>
      <c r="H5" s="95" t="str">
        <f>dados_01!H5</f>
        <v>REGIONAL 7</v>
      </c>
      <c r="I5" s="95">
        <f>dados_01!I5</f>
        <v>0</v>
      </c>
      <c r="J5" s="95"/>
      <c r="K5" s="95"/>
      <c r="L5" s="95"/>
      <c r="M5" s="95"/>
      <c r="N5" s="95"/>
      <c r="O5" s="95"/>
      <c r="P5" s="95"/>
      <c r="Q5" s="95"/>
      <c r="R5" s="95"/>
      <c r="S5" s="95"/>
      <c r="T5" s="95"/>
      <c r="U5" s="95"/>
      <c r="V5" s="95"/>
      <c r="W5" s="95"/>
      <c r="X5" s="95"/>
      <c r="Y5" s="95"/>
      <c r="Z5" s="95"/>
    </row>
    <row r="6" ht="13" spans="1:26">
      <c r="A6" s="95" t="str">
        <f>dados_01!A6</f>
        <v>11/05/2026 15:39:59</v>
      </c>
      <c r="B6" s="95" t="str">
        <f>dados_01!B6</f>
        <v>1</v>
      </c>
      <c r="C6" s="95" t="str">
        <f>IFERROR(__xludf.DUMMYFUNCTION("JOIN("". "", ARRAYFORMULA(IFERROR(LEFT(SPLIT(dados_01!C6, "" ""), 1))))"),"J. L. A. S")</f>
        <v>J. L. A. S</v>
      </c>
      <c r="D6" s="95" t="str">
        <f>dados_01!D6</f>
        <v>01/04/2023</v>
      </c>
      <c r="E6" s="95" t="str">
        <f>CONCATENATE(LEFT(dados_01!E6,3),REPT("*",6),RIGHT(dados_01!E6,2))</f>
        <v>185******95</v>
      </c>
      <c r="F6" s="95" t="str">
        <f>dados_01!F6</f>
        <v>INFANTIL 2</v>
      </c>
      <c r="G6" s="95" t="str">
        <f>dados_01!G6</f>
        <v>CEMEI DR. PAULO MENDES</v>
      </c>
      <c r="H6" s="95" t="str">
        <f>dados_01!H6</f>
        <v>REGIONAL 7</v>
      </c>
      <c r="I6" s="95">
        <f>dados_01!I6</f>
        <v>0</v>
      </c>
      <c r="J6" s="95"/>
      <c r="K6" s="95"/>
      <c r="L6" s="95"/>
      <c r="M6" s="95"/>
      <c r="N6" s="95"/>
      <c r="O6" s="95"/>
      <c r="P6" s="95"/>
      <c r="Q6" s="95"/>
      <c r="R6" s="95"/>
      <c r="S6" s="95"/>
      <c r="T6" s="95"/>
      <c r="U6" s="95"/>
      <c r="V6" s="95"/>
      <c r="W6" s="95"/>
      <c r="X6" s="95"/>
      <c r="Y6" s="95"/>
      <c r="Z6" s="95"/>
    </row>
    <row r="7" ht="13" spans="1:26">
      <c r="A7" s="95" t="str">
        <f>dados_01!A7</f>
        <v>05/03/2026 14:41:21</v>
      </c>
      <c r="B7" s="95" t="str">
        <f>dados_01!B7</f>
        <v>1</v>
      </c>
      <c r="C7" s="95" t="str">
        <f>IFERROR(__xludf.DUMMYFUNCTION("JOIN("". "", ARRAYFORMULA(IFERROR(LEFT(SPLIT(dados_01!C7, "" ""), 1))))"),"I. L. G. D. S")</f>
        <v>I. L. G. D. S</v>
      </c>
      <c r="D7" s="95" t="str">
        <f>dados_01!D7</f>
        <v>04/03/2023</v>
      </c>
      <c r="E7" s="95" t="str">
        <f>CONCATENATE(LEFT(dados_01!E7,3),REPT("*",6),RIGHT(dados_01!E7,2))</f>
        <v>184******23</v>
      </c>
      <c r="F7" s="95" t="str">
        <f>dados_01!F7</f>
        <v>INFANTIL 3</v>
      </c>
      <c r="G7" s="95" t="str">
        <f>dados_01!G7</f>
        <v>CEMEI DR. PAULO MENDES</v>
      </c>
      <c r="H7" s="95" t="str">
        <f>dados_01!H7</f>
        <v>REGIONAL 7</v>
      </c>
      <c r="I7" s="95">
        <f>dados_01!I7</f>
        <v>0</v>
      </c>
      <c r="J7" s="95"/>
      <c r="K7" s="95"/>
      <c r="L7" s="95"/>
      <c r="M7" s="95"/>
      <c r="N7" s="95"/>
      <c r="O7" s="95"/>
      <c r="P7" s="95"/>
      <c r="Q7" s="95"/>
      <c r="R7" s="95"/>
      <c r="S7" s="95"/>
      <c r="T7" s="95"/>
      <c r="U7" s="95"/>
      <c r="V7" s="95"/>
      <c r="W7" s="95"/>
      <c r="X7" s="95"/>
      <c r="Y7" s="95"/>
      <c r="Z7" s="95"/>
    </row>
    <row r="8" ht="13" spans="1:26">
      <c r="A8" s="95" t="str">
        <f>dados_01!A8</f>
        <v>15/05/2026 11:07:04</v>
      </c>
      <c r="B8" s="95" t="str">
        <f>dados_01!B8</f>
        <v>2</v>
      </c>
      <c r="C8" s="95" t="str">
        <f>IFERROR(__xludf.DUMMYFUNCTION("JOIN("". "", ARRAYFORMULA(IFERROR(LEFT(SPLIT(dados_01!C8, "" ""), 1))))"),"A. M. D. B")</f>
        <v>A. M. D. B</v>
      </c>
      <c r="D8" s="95" t="str">
        <f>dados_01!D8</f>
        <v>04/08/2022</v>
      </c>
      <c r="E8" s="95" t="str">
        <f>CONCATENATE(LEFT(dados_01!E8,3),REPT("*",6),RIGHT(dados_01!E8,2))</f>
        <v>182******30</v>
      </c>
      <c r="F8" s="95" t="str">
        <f>dados_01!F8</f>
        <v>INFANTIL 3</v>
      </c>
      <c r="G8" s="95" t="str">
        <f>dados_01!G8</f>
        <v>CEMEI DR. PAULO MENDES</v>
      </c>
      <c r="H8" s="95" t="str">
        <f>dados_01!H8</f>
        <v>REGIONAL 7</v>
      </c>
      <c r="I8" s="95">
        <f>dados_01!I8</f>
        <v>0</v>
      </c>
      <c r="J8" s="95"/>
      <c r="K8" s="95"/>
      <c r="L8" s="95"/>
      <c r="M8" s="95"/>
      <c r="N8" s="95"/>
      <c r="O8" s="95"/>
      <c r="P8" s="95"/>
      <c r="Q8" s="95"/>
      <c r="R8" s="95"/>
      <c r="S8" s="95"/>
      <c r="T8" s="95"/>
      <c r="U8" s="95"/>
      <c r="V8" s="95"/>
      <c r="W8" s="95"/>
      <c r="X8" s="95"/>
      <c r="Y8" s="95"/>
      <c r="Z8" s="95"/>
    </row>
    <row r="9" ht="13" spans="1:26">
      <c r="A9" s="95" t="str">
        <f>dados_01!A9</f>
        <v>18/05/2026 09:15:19</v>
      </c>
      <c r="B9" s="95" t="str">
        <f>dados_01!B9</f>
        <v>3</v>
      </c>
      <c r="C9" s="95" t="str">
        <f>IFERROR(__xludf.DUMMYFUNCTION("JOIN("". "", ARRAYFORMULA(IFERROR(LEFT(SPLIT(dados_01!C9, "" ""), 1))))"),"H. V. S. D")</f>
        <v>H. V. S. D</v>
      </c>
      <c r="D9" s="95" t="str">
        <f>dados_01!D9</f>
        <v>11/01/2023</v>
      </c>
      <c r="E9" s="95" t="str">
        <f>CONCATENATE(LEFT(dados_01!E9,3),REPT("*",6),RIGHT(dados_01!E9,2))</f>
        <v>184******20</v>
      </c>
      <c r="F9" s="95" t="str">
        <f>dados_01!F9</f>
        <v>INFANTIL 3</v>
      </c>
      <c r="G9" s="95" t="str">
        <f>dados_01!G9</f>
        <v>CEMEI DR. PAULO MENDES</v>
      </c>
      <c r="H9" s="95" t="str">
        <f>dados_01!H9</f>
        <v>REGIONAL 7</v>
      </c>
      <c r="I9" s="95">
        <f>dados_01!I9</f>
        <v>0</v>
      </c>
      <c r="J9" s="95"/>
      <c r="K9" s="95"/>
      <c r="L9" s="95"/>
      <c r="M9" s="95"/>
      <c r="N9" s="95"/>
      <c r="O9" s="95"/>
      <c r="P9" s="95"/>
      <c r="Q9" s="95"/>
      <c r="R9" s="95"/>
      <c r="S9" s="95"/>
      <c r="T9" s="95"/>
      <c r="U9" s="95"/>
      <c r="V9" s="95"/>
      <c r="W9" s="95"/>
      <c r="X9" s="95"/>
      <c r="Y9" s="95"/>
      <c r="Z9" s="95"/>
    </row>
    <row r="10" ht="13" spans="1:26">
      <c r="A10" s="95" t="str">
        <f>dados_01!A10</f>
        <v>20/04/2026 09:51:30</v>
      </c>
      <c r="B10" s="95" t="str">
        <f>dados_01!B10</f>
        <v>1</v>
      </c>
      <c r="C10" s="95" t="str">
        <f>IFERROR(__xludf.DUMMYFUNCTION("JOIN("". "", ARRAYFORMULA(IFERROR(LEFT(SPLIT(dados_01!C10, "" ""), 1))))"),"H. D. L. A")</f>
        <v>H. D. L. A</v>
      </c>
      <c r="D10" s="95" t="str">
        <f>dados_01!D10</f>
        <v>13/06/2022</v>
      </c>
      <c r="E10" s="95" t="str">
        <f>CONCATENATE(LEFT(dados_01!E10,3),REPT("*",6),RIGHT(dados_01!E10,2))</f>
        <v>182******64</v>
      </c>
      <c r="F10" s="95" t="str">
        <f>dados_01!F10</f>
        <v>INFANTIL 3</v>
      </c>
      <c r="G10" s="95" t="str">
        <f>dados_01!G10</f>
        <v>CEMEI EDVALDO SEVERIANO DE OLIVEIRA</v>
      </c>
      <c r="H10" s="95" t="str">
        <f>dados_01!H10</f>
        <v>REGIONAL 3</v>
      </c>
      <c r="I10" s="95">
        <f>dados_01!I10</f>
        <v>0</v>
      </c>
      <c r="J10" s="95"/>
      <c r="K10" s="95"/>
      <c r="L10" s="95"/>
      <c r="M10" s="95"/>
      <c r="N10" s="95"/>
      <c r="O10" s="95"/>
      <c r="P10" s="95"/>
      <c r="Q10" s="95"/>
      <c r="R10" s="95"/>
      <c r="S10" s="95"/>
      <c r="T10" s="95"/>
      <c r="U10" s="95"/>
      <c r="V10" s="95"/>
      <c r="W10" s="95"/>
      <c r="X10" s="95"/>
      <c r="Y10" s="95"/>
      <c r="Z10" s="95"/>
    </row>
    <row r="11" ht="13" spans="1:26">
      <c r="A11" s="95" t="str">
        <f>dados_01!A11</f>
        <v>06/02/2026 09:17:41</v>
      </c>
      <c r="B11" s="95" t="str">
        <f>dados_01!B11</f>
        <v>1</v>
      </c>
      <c r="C11" s="95" t="str">
        <f>IFERROR(__xludf.DUMMYFUNCTION("JOIN("". "", ARRAYFORMULA(IFERROR(LEFT(SPLIT(dados_01!C11, "" ""), 1))))"),"J. V. C. C")</f>
        <v>J. V. C. C</v>
      </c>
      <c r="D11" s="95" t="str">
        <f>dados_01!D11</f>
        <v>26/03/2023</v>
      </c>
      <c r="E11" s="95" t="str">
        <f>CONCATENATE(LEFT(dados_01!E11,3),REPT("*",6),RIGHT(dados_01!E11,2))</f>
        <v>184******42</v>
      </c>
      <c r="F11" s="95" t="str">
        <f>dados_01!F11</f>
        <v>INFANTIL 3</v>
      </c>
      <c r="G11" s="95" t="str">
        <f>dados_01!G11</f>
        <v>CEMEI ELIEL EUSTAQUIO DA SILVA</v>
      </c>
      <c r="H11" s="95" t="str">
        <f>dados_01!H11</f>
        <v>REGIONAL 7</v>
      </c>
      <c r="I11" s="95">
        <f>dados_01!I11</f>
        <v>0</v>
      </c>
      <c r="J11" s="95"/>
      <c r="K11" s="95"/>
      <c r="L11" s="95"/>
      <c r="M11" s="95"/>
      <c r="N11" s="95"/>
      <c r="O11" s="95"/>
      <c r="P11" s="95"/>
      <c r="Q11" s="95"/>
      <c r="R11" s="95"/>
      <c r="S11" s="95"/>
      <c r="T11" s="95"/>
      <c r="U11" s="95"/>
      <c r="V11" s="95"/>
      <c r="W11" s="95"/>
      <c r="X11" s="95"/>
      <c r="Y11" s="95"/>
      <c r="Z11" s="95"/>
    </row>
    <row r="12" ht="13" spans="1:26">
      <c r="A12" s="95" t="str">
        <f>dados_01!A12</f>
        <v>04/05/2026 08:16:17</v>
      </c>
      <c r="B12" s="95" t="str">
        <f>dados_01!B12</f>
        <v>2</v>
      </c>
      <c r="C12" s="95" t="str">
        <f>IFERROR(__xludf.DUMMYFUNCTION("JOIN("". "", ARRAYFORMULA(IFERROR(LEFT(SPLIT(dados_01!C12, "" ""), 1))))"),"A. A. D. P. S")</f>
        <v>A. A. D. P. S</v>
      </c>
      <c r="D12" s="95" t="str">
        <f>dados_01!D12</f>
        <v>24/12/2022</v>
      </c>
      <c r="E12" s="95" t="str">
        <f>CONCATENATE(LEFT(dados_01!E12,3),REPT("*",6),RIGHT(dados_01!E12,2))</f>
        <v>183******09</v>
      </c>
      <c r="F12" s="95" t="str">
        <f>dados_01!F12</f>
        <v>INFANTIL 3</v>
      </c>
      <c r="G12" s="95" t="str">
        <f>dados_01!G12</f>
        <v>CEMEI ELIEL EUSTAQUIO DA SILVA</v>
      </c>
      <c r="H12" s="95" t="str">
        <f>dados_01!H12</f>
        <v>REGIONAL 7</v>
      </c>
      <c r="I12" s="95">
        <f>dados_01!I12</f>
        <v>0</v>
      </c>
      <c r="J12" s="95"/>
      <c r="K12" s="95"/>
      <c r="L12" s="95"/>
      <c r="M12" s="95"/>
      <c r="N12" s="95"/>
      <c r="O12" s="95"/>
      <c r="P12" s="95"/>
      <c r="Q12" s="95"/>
      <c r="R12" s="95"/>
      <c r="S12" s="95"/>
      <c r="T12" s="95"/>
      <c r="U12" s="95"/>
      <c r="V12" s="95"/>
      <c r="W12" s="95"/>
      <c r="X12" s="95"/>
      <c r="Y12" s="95"/>
      <c r="Z12" s="95"/>
    </row>
    <row r="13" ht="13" spans="1:26">
      <c r="A13" s="95" t="str">
        <f>dados_01!A13</f>
        <v>09/03/2026 17:29:00</v>
      </c>
      <c r="B13" s="95" t="str">
        <f>dados_01!B13</f>
        <v>1</v>
      </c>
      <c r="C13" s="95" t="str">
        <f>IFERROR(__xludf.DUMMYFUNCTION("JOIN("". "", ARRAYFORMULA(IFERROR(LEFT(SPLIT(dados_01!C13, "" ""), 1))))"),"M. D. C. M. C")</f>
        <v>M. D. C. M. C</v>
      </c>
      <c r="D13" s="95" t="str">
        <f>dados_01!D13</f>
        <v>21/05/2024</v>
      </c>
      <c r="E13" s="95" t="str">
        <f>CONCATENATE(LEFT(dados_01!E13,3),REPT("*",6),RIGHT(dados_01!E13,2))</f>
        <v>003******58</v>
      </c>
      <c r="F13" s="95" t="str">
        <f>dados_01!F13</f>
        <v>INFANTIL 1</v>
      </c>
      <c r="G13" s="95" t="str">
        <f>dados_01!G13</f>
        <v>CEMEI LIGIA ARAUJO DE OLIVEIRA</v>
      </c>
      <c r="H13" s="95" t="str">
        <f>dados_01!H13</f>
        <v>REGIONAL 6</v>
      </c>
      <c r="I13" s="95">
        <f>dados_01!I13</f>
        <v>0</v>
      </c>
      <c r="J13" s="95"/>
      <c r="K13" s="95"/>
      <c r="L13" s="95"/>
      <c r="M13" s="95"/>
      <c r="N13" s="95"/>
      <c r="O13" s="95"/>
      <c r="P13" s="95"/>
      <c r="Q13" s="95"/>
      <c r="R13" s="95"/>
      <c r="S13" s="95"/>
      <c r="T13" s="95"/>
      <c r="U13" s="95"/>
      <c r="V13" s="95"/>
      <c r="W13" s="95"/>
      <c r="X13" s="95"/>
      <c r="Y13" s="95"/>
      <c r="Z13" s="95"/>
    </row>
    <row r="14" ht="13" spans="1:26">
      <c r="A14" s="95" t="str">
        <f>dados_01!A14</f>
        <v>23/03/2026 19:01:28</v>
      </c>
      <c r="B14" s="95" t="str">
        <f>dados_01!B14</f>
        <v>2</v>
      </c>
      <c r="C14" s="95" t="str">
        <f>IFERROR(__xludf.DUMMYFUNCTION("JOIN("". "", ARRAYFORMULA(IFERROR(LEFT(SPLIT(dados_01!C14, "" ""), 1))))"),"L. S. S")</f>
        <v>L. S. S</v>
      </c>
      <c r="D14" s="95" t="str">
        <f>dados_01!D14</f>
        <v>15/05/2024</v>
      </c>
      <c r="E14" s="95" t="str">
        <f>CONCATENATE(LEFT(dados_01!E14,3),REPT("*",6),RIGHT(dados_01!E14,2))</f>
        <v>003******82</v>
      </c>
      <c r="F14" s="95" t="str">
        <f>dados_01!F14</f>
        <v>INFANTIL 1</v>
      </c>
      <c r="G14" s="95" t="str">
        <f>dados_01!G14</f>
        <v>CEMEI LIGIA ARAUJO DE OLIVEIRA</v>
      </c>
      <c r="H14" s="95" t="str">
        <f>dados_01!H14</f>
        <v>REGIONAL 6</v>
      </c>
      <c r="I14" s="95">
        <f>dados_01!I14</f>
        <v>0</v>
      </c>
      <c r="J14" s="95"/>
      <c r="K14" s="95"/>
      <c r="L14" s="95"/>
      <c r="M14" s="95"/>
      <c r="N14" s="95"/>
      <c r="O14" s="95"/>
      <c r="P14" s="95"/>
      <c r="Q14" s="95"/>
      <c r="R14" s="95"/>
      <c r="S14" s="95"/>
      <c r="T14" s="95"/>
      <c r="U14" s="95"/>
      <c r="V14" s="95"/>
      <c r="W14" s="95"/>
      <c r="X14" s="95"/>
      <c r="Y14" s="95"/>
      <c r="Z14" s="95"/>
    </row>
    <row r="15" ht="13" spans="1:26">
      <c r="A15" s="95" t="str">
        <f>dados_01!A15</f>
        <v>28/01/2026 08:07:40</v>
      </c>
      <c r="B15" s="95" t="str">
        <f>dados_01!B15</f>
        <v>1</v>
      </c>
      <c r="C15" s="95" t="str">
        <f>IFERROR(__xludf.DUMMYFUNCTION("JOIN("". "", ARRAYFORMULA(IFERROR(LEFT(SPLIT(dados_01!C15, "" ""), 1))))"),"Í. M. E. D. S")</f>
        <v>Í. M. E. D. S</v>
      </c>
      <c r="D15" s="95" t="str">
        <f>dados_01!D15</f>
        <v>19/08/2023</v>
      </c>
      <c r="E15" s="95" t="str">
        <f>CONCATENATE(LEFT(dados_01!E15,3),REPT("*",6),RIGHT(dados_01!E15,2))</f>
        <v>001******67</v>
      </c>
      <c r="F15" s="95" t="str">
        <f>dados_01!F15</f>
        <v>INFANTIL 2</v>
      </c>
      <c r="G15" s="95" t="str">
        <f>dados_01!G15</f>
        <v>CEMEI LIGIA ARAUJO DE OLIVEIRA</v>
      </c>
      <c r="H15" s="95" t="str">
        <f>dados_01!H15</f>
        <v>REGIONAL 6</v>
      </c>
      <c r="I15" s="95">
        <f>dados_01!I15</f>
        <v>0</v>
      </c>
      <c r="J15" s="95"/>
      <c r="K15" s="95"/>
      <c r="L15" s="95"/>
      <c r="M15" s="95"/>
      <c r="N15" s="95"/>
      <c r="O15" s="95"/>
      <c r="P15" s="95"/>
      <c r="Q15" s="95"/>
      <c r="R15" s="95"/>
      <c r="S15" s="95"/>
      <c r="T15" s="95"/>
      <c r="U15" s="95"/>
      <c r="V15" s="95"/>
      <c r="W15" s="95"/>
      <c r="X15" s="95"/>
      <c r="Y15" s="95"/>
      <c r="Z15" s="95"/>
    </row>
    <row r="16" ht="13" spans="1:26">
      <c r="A16" s="95" t="str">
        <f>dados_01!A16</f>
        <v>29/01/2026 10:35:38</v>
      </c>
      <c r="B16" s="95" t="str">
        <f>dados_01!B16</f>
        <v>2</v>
      </c>
      <c r="C16" s="95" t="str">
        <f>IFERROR(__xludf.DUMMYFUNCTION("JOIN("". "", ARRAYFORMULA(IFERROR(LEFT(SPLIT(dados_01!C16, "" ""), 1))))"),"O. H. L. L")</f>
        <v>O. H. L. L</v>
      </c>
      <c r="D16" s="95" t="str">
        <f>dados_01!D16</f>
        <v>27/05/2023</v>
      </c>
      <c r="E16" s="95" t="str">
        <f>CONCATENATE(LEFT(dados_01!E16,3),REPT("*",6),RIGHT(dados_01!E16,2))</f>
        <v>185******18</v>
      </c>
      <c r="F16" s="95" t="str">
        <f>dados_01!F16</f>
        <v>INFANTIL 2</v>
      </c>
      <c r="G16" s="95" t="str">
        <f>dados_01!G16</f>
        <v>CEMEI LIGIA ARAUJO DE OLIVEIRA</v>
      </c>
      <c r="H16" s="95" t="str">
        <f>dados_01!H16</f>
        <v>REGIONAL 6</v>
      </c>
      <c r="I16" s="95">
        <f>dados_01!I16</f>
        <v>0</v>
      </c>
      <c r="J16" s="95"/>
      <c r="K16" s="95"/>
      <c r="L16" s="95"/>
      <c r="M16" s="95"/>
      <c r="N16" s="95"/>
      <c r="O16" s="95"/>
      <c r="P16" s="95"/>
      <c r="Q16" s="95"/>
      <c r="R16" s="95"/>
      <c r="S16" s="95"/>
      <c r="T16" s="95"/>
      <c r="U16" s="95"/>
      <c r="V16" s="95"/>
      <c r="W16" s="95"/>
      <c r="X16" s="95"/>
      <c r="Y16" s="95"/>
      <c r="Z16" s="95"/>
    </row>
    <row r="17" ht="13" spans="1:26">
      <c r="A17" s="95" t="str">
        <f>dados_01!A17</f>
        <v>11/03/2026 10:19:05</v>
      </c>
      <c r="B17" s="95" t="str">
        <f>dados_01!B17</f>
        <v>3</v>
      </c>
      <c r="C17" s="95" t="str">
        <f>IFERROR(__xludf.DUMMYFUNCTION("JOIN("". "", ARRAYFORMULA(IFERROR(LEFT(SPLIT(dados_01!C17, "" ""), 1))))"),"A. G. D. S. S")</f>
        <v>A. G. D. S. S</v>
      </c>
      <c r="D17" s="95" t="str">
        <f>dados_01!D17</f>
        <v>30/12/2023</v>
      </c>
      <c r="E17" s="95" t="str">
        <f>CONCATENATE(LEFT(dados_01!E17,3),REPT("*",6),RIGHT(dados_01!E17,2))</f>
        <v>001******00</v>
      </c>
      <c r="F17" s="95" t="str">
        <f>dados_01!F17</f>
        <v>INFANTIL 2</v>
      </c>
      <c r="G17" s="95" t="str">
        <f>dados_01!G17</f>
        <v>CEMEI LIGIA ARAUJO DE OLIVEIRA</v>
      </c>
      <c r="H17" s="95" t="str">
        <f>dados_01!H17</f>
        <v>REGIONAL 6</v>
      </c>
      <c r="I17" s="95">
        <f>dados_01!I17</f>
        <v>0</v>
      </c>
      <c r="J17" s="95"/>
      <c r="K17" s="95"/>
      <c r="L17" s="95"/>
      <c r="M17" s="95"/>
      <c r="N17" s="95"/>
      <c r="O17" s="95"/>
      <c r="P17" s="95"/>
      <c r="Q17" s="95"/>
      <c r="R17" s="95"/>
      <c r="S17" s="95"/>
      <c r="T17" s="95"/>
      <c r="U17" s="95"/>
      <c r="V17" s="95"/>
      <c r="W17" s="95"/>
      <c r="X17" s="95"/>
      <c r="Y17" s="95"/>
      <c r="Z17" s="95"/>
    </row>
    <row r="18" ht="13" spans="1:26">
      <c r="A18" s="95" t="str">
        <f>dados_01!A18</f>
        <v>20/04/2026 12:53:45</v>
      </c>
      <c r="B18" s="95" t="str">
        <f>dados_01!B18</f>
        <v>4</v>
      </c>
      <c r="C18" s="95" t="str">
        <f>IFERROR(__xludf.DUMMYFUNCTION("JOIN("". "", ARRAYFORMULA(IFERROR(LEFT(SPLIT(dados_01!C18, "" ""), 1))))"),"I. M. D. D. S")</f>
        <v>I. M. D. D. S</v>
      </c>
      <c r="D18" s="95" t="str">
        <f>dados_01!D18</f>
        <v>02/05/2023</v>
      </c>
      <c r="E18" s="95" t="str">
        <f>CONCATENATE(LEFT(dados_01!E18,3),REPT("*",6),RIGHT(dados_01!E18,2))</f>
        <v>166******37</v>
      </c>
      <c r="F18" s="95" t="str">
        <f>dados_01!F18</f>
        <v>INFANTIL 2</v>
      </c>
      <c r="G18" s="95" t="str">
        <f>dados_01!G18</f>
        <v>CEMEI LIGIA ARAUJO DE OLIVEIRA</v>
      </c>
      <c r="H18" s="95" t="str">
        <f>dados_01!H18</f>
        <v>REGIONAL 6</v>
      </c>
      <c r="I18" s="95">
        <f>dados_01!I18</f>
        <v>0</v>
      </c>
      <c r="J18" s="95"/>
      <c r="K18" s="95"/>
      <c r="L18" s="95"/>
      <c r="M18" s="95"/>
      <c r="N18" s="95"/>
      <c r="O18" s="95"/>
      <c r="P18" s="95"/>
      <c r="Q18" s="95"/>
      <c r="R18" s="95"/>
      <c r="S18" s="95"/>
      <c r="T18" s="95"/>
      <c r="U18" s="95"/>
      <c r="V18" s="95"/>
      <c r="W18" s="95"/>
      <c r="X18" s="95"/>
      <c r="Y18" s="95"/>
      <c r="Z18" s="95"/>
    </row>
    <row r="19" ht="13" spans="1:26">
      <c r="A19" s="95" t="str">
        <f>dados_01!A19</f>
        <v>08/05/2026 07:30:21</v>
      </c>
      <c r="B19" s="95" t="str">
        <f>dados_01!B19</f>
        <v>5</v>
      </c>
      <c r="C19" s="95" t="str">
        <f>IFERROR(__xludf.DUMMYFUNCTION("JOIN("". "", ARRAYFORMULA(IFERROR(LEFT(SPLIT(dados_01!C19, "" ""), 1))))"),"H. G. M. D. S")</f>
        <v>H. G. M. D. S</v>
      </c>
      <c r="D19" s="95" t="str">
        <f>dados_01!D19</f>
        <v>20/05/2023</v>
      </c>
      <c r="E19" s="95" t="str">
        <f>CONCATENATE(LEFT(dados_01!E19,3),REPT("*",6),RIGHT(dados_01!E19,2))</f>
        <v>185******29</v>
      </c>
      <c r="F19" s="95" t="str">
        <f>dados_01!F19</f>
        <v>INFANTIL 2</v>
      </c>
      <c r="G19" s="95" t="str">
        <f>dados_01!G19</f>
        <v>CEMEI LIGIA ARAUJO DE OLIVEIRA</v>
      </c>
      <c r="H19" s="95" t="str">
        <f>dados_01!H19</f>
        <v>REGIONAL 6</v>
      </c>
      <c r="I19" s="95">
        <f>dados_01!I19</f>
        <v>0</v>
      </c>
      <c r="J19" s="95"/>
      <c r="K19" s="95"/>
      <c r="L19" s="95"/>
      <c r="M19" s="95"/>
      <c r="N19" s="95"/>
      <c r="O19" s="95"/>
      <c r="P19" s="95"/>
      <c r="Q19" s="95"/>
      <c r="R19" s="95"/>
      <c r="S19" s="95"/>
      <c r="T19" s="95"/>
      <c r="U19" s="95"/>
      <c r="V19" s="95"/>
      <c r="W19" s="95"/>
      <c r="X19" s="95"/>
      <c r="Y19" s="95"/>
      <c r="Z19" s="95"/>
    </row>
    <row r="20" ht="13" spans="1:26">
      <c r="A20" s="95" t="str">
        <f>dados_01!A20</f>
        <v>03/02/2026 14:12:28</v>
      </c>
      <c r="B20" s="95" t="str">
        <f>dados_01!B20</f>
        <v>1</v>
      </c>
      <c r="C20" s="95" t="str">
        <f>IFERROR(__xludf.DUMMYFUNCTION("JOIN("". "", ARRAYFORMULA(IFERROR(LEFT(SPLIT(dados_01!C20, "" ""), 1))))"),"A. F. D. S")</f>
        <v>A. F. D. S</v>
      </c>
      <c r="D20" s="95" t="str">
        <f>dados_01!D20</f>
        <v>22/11/2022</v>
      </c>
      <c r="E20" s="95" t="str">
        <f>CONCATENATE(LEFT(dados_01!E20,3),REPT("*",6),RIGHT(dados_01!E20,2))</f>
        <v>183******05</v>
      </c>
      <c r="F20" s="95" t="str">
        <f>dados_01!F20</f>
        <v>INFANTIL 3</v>
      </c>
      <c r="G20" s="95" t="str">
        <f>dados_01!G20</f>
        <v>CEMEI LIGIA ARAUJO DE OLIVEIRA</v>
      </c>
      <c r="H20" s="95" t="str">
        <f>dados_01!H20</f>
        <v>REGIONAL 6</v>
      </c>
      <c r="I20" s="95">
        <f>dados_01!I20</f>
        <v>0</v>
      </c>
      <c r="J20" s="95"/>
      <c r="K20" s="95"/>
      <c r="L20" s="95"/>
      <c r="M20" s="95"/>
      <c r="N20" s="95"/>
      <c r="O20" s="95"/>
      <c r="P20" s="95"/>
      <c r="Q20" s="95"/>
      <c r="R20" s="95"/>
      <c r="S20" s="95"/>
      <c r="T20" s="95"/>
      <c r="U20" s="95"/>
      <c r="V20" s="95"/>
      <c r="W20" s="95"/>
      <c r="X20" s="95"/>
      <c r="Y20" s="95"/>
      <c r="Z20" s="95"/>
    </row>
    <row r="21" ht="15.75" customHeight="1" spans="1:26">
      <c r="A21" s="95" t="str">
        <f>dados_01!A21</f>
        <v>03/02/2026 14:18:57</v>
      </c>
      <c r="B21" s="95" t="str">
        <f>dados_01!B21</f>
        <v>2</v>
      </c>
      <c r="C21" s="95" t="str">
        <f>IFERROR(__xludf.DUMMYFUNCTION("JOIN("". "", ARRAYFORMULA(IFERROR(LEFT(SPLIT(dados_01!C21, "" ""), 1))))"),"A. F. D. S")</f>
        <v>A. F. D. S</v>
      </c>
      <c r="D21" s="95" t="str">
        <f>dados_01!D21</f>
        <v>22/11/2022</v>
      </c>
      <c r="E21" s="95" t="str">
        <f>CONCATENATE(LEFT(dados_01!E21,3),REPT("*",6),RIGHT(dados_01!E21,2))</f>
        <v>183******11</v>
      </c>
      <c r="F21" s="95" t="str">
        <f>dados_01!F21</f>
        <v>INFANTIL 3</v>
      </c>
      <c r="G21" s="95" t="str">
        <f>dados_01!G21</f>
        <v>CEMEI LIGIA ARAUJO DE OLIVEIRA</v>
      </c>
      <c r="H21" s="95" t="str">
        <f>dados_01!H21</f>
        <v>REGIONAL 6</v>
      </c>
      <c r="I21" s="95">
        <f>dados_01!I21</f>
        <v>0</v>
      </c>
      <c r="J21" s="95"/>
      <c r="K21" s="95"/>
      <c r="L21" s="95"/>
      <c r="M21" s="95"/>
      <c r="N21" s="95"/>
      <c r="O21" s="95"/>
      <c r="P21" s="95"/>
      <c r="Q21" s="95"/>
      <c r="R21" s="95"/>
      <c r="S21" s="95"/>
      <c r="T21" s="95"/>
      <c r="U21" s="95"/>
      <c r="V21" s="95"/>
      <c r="W21" s="95"/>
      <c r="X21" s="95"/>
      <c r="Y21" s="95"/>
      <c r="Z21" s="95"/>
    </row>
    <row r="22" ht="15.75" customHeight="1" spans="1:26">
      <c r="A22" s="95" t="str">
        <f>dados_01!A22</f>
        <v>23/02/2026 20:39:24</v>
      </c>
      <c r="B22" s="95" t="str">
        <f>dados_01!B22</f>
        <v>3</v>
      </c>
      <c r="C22" s="95" t="str">
        <f>IFERROR(__xludf.DUMMYFUNCTION("JOIN("". "", ARRAYFORMULA(IFERROR(LEFT(SPLIT(dados_01!C22, "" ""), 1))))"),"A. E. P. D. S")</f>
        <v>A. E. P. D. S</v>
      </c>
      <c r="D22" s="95" t="str">
        <f>dados_01!D22</f>
        <v>31/08/2022</v>
      </c>
      <c r="E22" s="95" t="str">
        <f>CONCATENATE(LEFT(dados_01!E22,3),REPT("*",6),RIGHT(dados_01!E22,2))</f>
        <v>182******05</v>
      </c>
      <c r="F22" s="95" t="str">
        <f>dados_01!F22</f>
        <v>INFANTIL 3</v>
      </c>
      <c r="G22" s="95" t="str">
        <f>dados_01!G22</f>
        <v>CEMEI LIGIA ARAUJO DE OLIVEIRA</v>
      </c>
      <c r="H22" s="95" t="str">
        <f>dados_01!H22</f>
        <v>REGIONAL 6</v>
      </c>
      <c r="I22" s="95">
        <f>dados_01!I22</f>
        <v>0</v>
      </c>
      <c r="J22" s="95"/>
      <c r="K22" s="95"/>
      <c r="L22" s="95"/>
      <c r="M22" s="95"/>
      <c r="N22" s="95"/>
      <c r="O22" s="95"/>
      <c r="P22" s="95"/>
      <c r="Q22" s="95"/>
      <c r="R22" s="95"/>
      <c r="S22" s="95"/>
      <c r="T22" s="95"/>
      <c r="U22" s="95"/>
      <c r="V22" s="95"/>
      <c r="W22" s="95"/>
      <c r="X22" s="95"/>
      <c r="Y22" s="95"/>
      <c r="Z22" s="95"/>
    </row>
    <row r="23" ht="15.75" customHeight="1" spans="1:26">
      <c r="A23" s="95" t="str">
        <f>dados_01!A23</f>
        <v>19/03/2026 08:28:18</v>
      </c>
      <c r="B23" s="95" t="str">
        <f>dados_01!B23</f>
        <v>1</v>
      </c>
      <c r="C23" s="95" t="str">
        <f>IFERROR(__xludf.DUMMYFUNCTION("JOIN("". "", ARRAYFORMULA(IFERROR(LEFT(SPLIT(dados_01!C23, "" ""), 1))))"),"M. C. D. L")</f>
        <v>M. C. D. L</v>
      </c>
      <c r="D23" s="95" t="str">
        <f>dados_01!D23</f>
        <v>16/12/2024</v>
      </c>
      <c r="E23" s="95" t="str">
        <f>CONCATENATE(LEFT(dados_01!E23,3),REPT("*",6),RIGHT(dados_01!E23,2))</f>
        <v>004******32</v>
      </c>
      <c r="F23" s="95" t="str">
        <f>dados_01!F23</f>
        <v>INFANTIL 1</v>
      </c>
      <c r="G23" s="95" t="str">
        <f>dados_01!G23</f>
        <v>CEMEI PROFª MARIA LUZIA RIO LIMA</v>
      </c>
      <c r="H23" s="95" t="str">
        <f>dados_01!H23</f>
        <v>REGIONAL 5</v>
      </c>
      <c r="I23" s="95">
        <f>dados_01!I23</f>
        <v>0</v>
      </c>
      <c r="J23" s="95"/>
      <c r="K23" s="95"/>
      <c r="L23" s="95"/>
      <c r="M23" s="95"/>
      <c r="N23" s="95"/>
      <c r="O23" s="95"/>
      <c r="P23" s="95"/>
      <c r="Q23" s="95"/>
      <c r="R23" s="95"/>
      <c r="S23" s="95"/>
      <c r="T23" s="95"/>
      <c r="U23" s="95"/>
      <c r="V23" s="95"/>
      <c r="W23" s="95"/>
      <c r="X23" s="95"/>
      <c r="Y23" s="95"/>
      <c r="Z23" s="95"/>
    </row>
    <row r="24" ht="15.75" customHeight="1" spans="1:26">
      <c r="A24" s="95" t="str">
        <f>dados_01!A24</f>
        <v>19/03/2026 08:46:18</v>
      </c>
      <c r="B24" s="95" t="str">
        <f>dados_01!B24</f>
        <v>2</v>
      </c>
      <c r="C24" s="95" t="str">
        <f>IFERROR(__xludf.DUMMYFUNCTION("JOIN("". "", ARRAYFORMULA(IFERROR(LEFT(SPLIT(dados_01!C24, "" ""), 1))))"),"M. F. D. L")</f>
        <v>M. F. D. L</v>
      </c>
      <c r="D24" s="95" t="str">
        <f>dados_01!D24</f>
        <v>16/12/2024</v>
      </c>
      <c r="E24" s="95" t="str">
        <f>CONCATENATE(LEFT(dados_01!E24,3),REPT("*",6),RIGHT(dados_01!E24,2))</f>
        <v>004******97</v>
      </c>
      <c r="F24" s="95" t="str">
        <f>dados_01!F24</f>
        <v>INFANTIL 1</v>
      </c>
      <c r="G24" s="95" t="str">
        <f>dados_01!G24</f>
        <v>CEMEI PROFª MARIA LUZIA RIO LIMA</v>
      </c>
      <c r="H24" s="95" t="str">
        <f>dados_01!H24</f>
        <v>REGIONAL 5</v>
      </c>
      <c r="I24" s="95">
        <f>dados_01!I24</f>
        <v>0</v>
      </c>
      <c r="J24" s="95"/>
      <c r="K24" s="95"/>
      <c r="L24" s="95"/>
      <c r="M24" s="95"/>
      <c r="N24" s="95"/>
      <c r="O24" s="95"/>
      <c r="P24" s="95"/>
      <c r="Q24" s="95"/>
      <c r="R24" s="95"/>
      <c r="S24" s="95"/>
      <c r="T24" s="95"/>
      <c r="U24" s="95"/>
      <c r="V24" s="95"/>
      <c r="W24" s="95"/>
      <c r="X24" s="95"/>
      <c r="Y24" s="95"/>
      <c r="Z24" s="95"/>
    </row>
    <row r="25" ht="15.75" customHeight="1" spans="1:26">
      <c r="A25" s="95" t="str">
        <f>dados_01!A25</f>
        <v>06/05/2026 15:38:45</v>
      </c>
      <c r="B25" s="95" t="str">
        <f>dados_01!B25</f>
        <v>3</v>
      </c>
      <c r="C25" s="95" t="str">
        <f>IFERROR(__xludf.DUMMYFUNCTION("JOIN("". "", ARRAYFORMULA(IFERROR(LEFT(SPLIT(dados_01!C25, "" ""), 1))))"),"E. L. F. D. S")</f>
        <v>E. L. F. D. S</v>
      </c>
      <c r="D25" s="95" t="str">
        <f>dados_01!D25</f>
        <v>05/09/2024</v>
      </c>
      <c r="E25" s="95" t="str">
        <f>CONCATENATE(LEFT(dados_01!E25,3),REPT("*",6),RIGHT(dados_01!E25,2))</f>
        <v>118******81</v>
      </c>
      <c r="F25" s="95" t="str">
        <f>dados_01!F25</f>
        <v>INFANTIL 1</v>
      </c>
      <c r="G25" s="95" t="str">
        <f>dados_01!G25</f>
        <v>CEMEI PROFª MARIA LUZIA RIO LIMA</v>
      </c>
      <c r="H25" s="95" t="str">
        <f>dados_01!H25</f>
        <v>REGIONAL 5</v>
      </c>
      <c r="I25" s="95">
        <f>dados_01!I25</f>
        <v>0</v>
      </c>
      <c r="J25" s="95"/>
      <c r="K25" s="95"/>
      <c r="L25" s="95"/>
      <c r="M25" s="95"/>
      <c r="N25" s="95"/>
      <c r="O25" s="95"/>
      <c r="P25" s="95"/>
      <c r="Q25" s="95"/>
      <c r="R25" s="95"/>
      <c r="S25" s="95"/>
      <c r="T25" s="95"/>
      <c r="U25" s="95"/>
      <c r="V25" s="95"/>
      <c r="W25" s="95"/>
      <c r="X25" s="95"/>
      <c r="Y25" s="95"/>
      <c r="Z25" s="95"/>
    </row>
    <row r="26" ht="15.75" customHeight="1" spans="1:26">
      <c r="A26" s="95" t="str">
        <f>dados_01!A26</f>
        <v>28/01/2026 16:24:17</v>
      </c>
      <c r="B26" s="95" t="str">
        <f>dados_01!B26</f>
        <v>1</v>
      </c>
      <c r="C26" s="95" t="str">
        <f>IFERROR(__xludf.DUMMYFUNCTION("JOIN("". "", ARRAYFORMULA(IFERROR(LEFT(SPLIT(dados_01!C26, "" ""), 1))))"),"D. A. D. S. S")</f>
        <v>D. A. D. S. S</v>
      </c>
      <c r="D26" s="95" t="str">
        <f>dados_01!D26</f>
        <v>31/07/2024</v>
      </c>
      <c r="E26" s="95" t="str">
        <f>CONCATENATE(LEFT(dados_01!E26,3),REPT("*",6),RIGHT(dados_01!E26,2))</f>
        <v>003******09</v>
      </c>
      <c r="F26" s="95" t="str">
        <f>dados_01!F26</f>
        <v>INFANTIL 1</v>
      </c>
      <c r="G26" s="95" t="str">
        <f>dados_01!G26</f>
        <v>CEMEI PROFESSORA CIBELE DE ANDRADE MENDES DE AZEVEDO</v>
      </c>
      <c r="H26" s="95" t="str">
        <f>dados_01!H26</f>
        <v>REGIONAL 7</v>
      </c>
      <c r="I26" s="95">
        <f>dados_01!I26</f>
        <v>0</v>
      </c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</row>
    <row r="27" ht="15.75" customHeight="1" spans="1:26">
      <c r="A27" s="95" t="str">
        <f>dados_01!A27</f>
        <v>02/02/2026 09:13:57</v>
      </c>
      <c r="B27" s="95" t="str">
        <f>dados_01!B27</f>
        <v>2</v>
      </c>
      <c r="C27" s="95" t="str">
        <f>IFERROR(__xludf.DUMMYFUNCTION("JOIN("". "", ARRAYFORMULA(IFERROR(LEFT(SPLIT(dados_01!C27, "" ""), 1))))"),"Í. P. S. R")</f>
        <v>Í. P. S. R</v>
      </c>
      <c r="D27" s="95" t="str">
        <f>dados_01!D27</f>
        <v>17/01/2026</v>
      </c>
      <c r="E27" s="95" t="str">
        <f>CONCATENATE(LEFT(dados_01!E27,3),REPT("*",6),RIGHT(dados_01!E27,2))</f>
        <v>041******53</v>
      </c>
      <c r="F27" s="95" t="str">
        <f>dados_01!F27</f>
        <v>INFANTIL 1</v>
      </c>
      <c r="G27" s="95" t="str">
        <f>dados_01!G27</f>
        <v>CEMEI PROFESSORA CIBELE DE ANDRADE MENDES DE AZEVEDO</v>
      </c>
      <c r="H27" s="95" t="str">
        <f>dados_01!H27</f>
        <v>REGIONAL 7</v>
      </c>
      <c r="I27" s="95">
        <f>dados_01!I27</f>
        <v>0</v>
      </c>
      <c r="J27" s="95"/>
      <c r="K27" s="95"/>
      <c r="L27" s="95"/>
      <c r="M27" s="95"/>
      <c r="N27" s="95"/>
      <c r="O27" s="95"/>
      <c r="P27" s="95"/>
      <c r="Q27" s="95"/>
      <c r="R27" s="95"/>
      <c r="S27" s="95"/>
      <c r="T27" s="95"/>
      <c r="U27" s="95"/>
      <c r="V27" s="95"/>
      <c r="W27" s="95"/>
      <c r="X27" s="95"/>
      <c r="Y27" s="95"/>
      <c r="Z27" s="95"/>
    </row>
    <row r="28" ht="15.75" customHeight="1" spans="1:26">
      <c r="A28" s="95" t="str">
        <f>dados_01!A28</f>
        <v>04/02/2026 08:52:54</v>
      </c>
      <c r="B28" s="95" t="str">
        <f>dados_01!B28</f>
        <v>3</v>
      </c>
      <c r="C28" s="95" t="str">
        <f>IFERROR(__xludf.DUMMYFUNCTION("JOIN("". "", ARRAYFORMULA(IFERROR(LEFT(SPLIT(dados_01!C28, "" ""), 1))))"),"R. J. D. S")</f>
        <v>R. J. D. S</v>
      </c>
      <c r="D28" s="95" t="str">
        <f>dados_01!D28</f>
        <v>18/04/2024</v>
      </c>
      <c r="E28" s="95" t="str">
        <f>CONCATENATE(LEFT(dados_01!E28,3),REPT("*",6),RIGHT(dados_01!E28,2))</f>
        <v>003******54</v>
      </c>
      <c r="F28" s="95" t="str">
        <f>dados_01!F28</f>
        <v>INFANTIL 1</v>
      </c>
      <c r="G28" s="95" t="str">
        <f>dados_01!G28</f>
        <v>CEMEI PROFESSORA CIBELE DE ANDRADE MENDES DE AZEVEDO</v>
      </c>
      <c r="H28" s="95" t="str">
        <f>dados_01!H28</f>
        <v>REGIONAL 7</v>
      </c>
      <c r="I28" s="95">
        <f>dados_01!I28</f>
        <v>0</v>
      </c>
      <c r="J28" s="95"/>
      <c r="K28" s="95"/>
      <c r="L28" s="95"/>
      <c r="M28" s="95"/>
      <c r="N28" s="95"/>
      <c r="O28" s="95"/>
      <c r="P28" s="95"/>
      <c r="Q28" s="95"/>
      <c r="R28" s="95"/>
      <c r="S28" s="95"/>
      <c r="T28" s="95"/>
      <c r="U28" s="95"/>
      <c r="V28" s="95"/>
      <c r="W28" s="95"/>
      <c r="X28" s="95"/>
      <c r="Y28" s="95"/>
      <c r="Z28" s="95"/>
    </row>
    <row r="29" ht="15.75" customHeight="1" spans="1:26">
      <c r="A29" s="95" t="str">
        <f>dados_01!A29</f>
        <v>05/02/2026 12:22:17</v>
      </c>
      <c r="B29" s="95" t="str">
        <f>dados_01!B29</f>
        <v>4</v>
      </c>
      <c r="C29" s="95" t="str">
        <f>IFERROR(__xludf.DUMMYFUNCTION("JOIN("". "", ARRAYFORMULA(IFERROR(LEFT(SPLIT(dados_01!C29, "" ""), 1))))"),"E. J. N. D. S")</f>
        <v>E. J. N. D. S</v>
      </c>
      <c r="D29" s="95" t="str">
        <f>dados_01!D29</f>
        <v>12/08/2024</v>
      </c>
      <c r="E29" s="95" t="str">
        <f>CONCATENATE(LEFT(dados_01!E29,3),REPT("*",6),RIGHT(dados_01!E29,2))</f>
        <v>003******75</v>
      </c>
      <c r="F29" s="95" t="str">
        <f>dados_01!F29</f>
        <v>INFANTIL 1</v>
      </c>
      <c r="G29" s="95" t="str">
        <f>dados_01!G29</f>
        <v>CEMEI PROFESSORA CIBELE DE ANDRADE MENDES DE AZEVEDO</v>
      </c>
      <c r="H29" s="95" t="str">
        <f>dados_01!H29</f>
        <v>REGIONAL 7</v>
      </c>
      <c r="I29" s="95">
        <f>dados_01!I29</f>
        <v>0</v>
      </c>
      <c r="J29" s="95"/>
      <c r="K29" s="95"/>
      <c r="L29" s="95"/>
      <c r="M29" s="95"/>
      <c r="N29" s="95"/>
      <c r="O29" s="95"/>
      <c r="P29" s="95"/>
      <c r="Q29" s="95"/>
      <c r="R29" s="95"/>
      <c r="S29" s="95"/>
      <c r="T29" s="95"/>
      <c r="U29" s="95"/>
      <c r="V29" s="95"/>
      <c r="W29" s="95"/>
      <c r="X29" s="95"/>
      <c r="Y29" s="95"/>
      <c r="Z29" s="95"/>
    </row>
    <row r="30" ht="15.75" customHeight="1" spans="1:26">
      <c r="A30" s="95" t="str">
        <f>dados_01!A30</f>
        <v>05/02/2026 13:29:32</v>
      </c>
      <c r="B30" s="95" t="str">
        <f>dados_01!B30</f>
        <v>5</v>
      </c>
      <c r="C30" s="95" t="str">
        <f>IFERROR(__xludf.DUMMYFUNCTION("JOIN("". "", ARRAYFORMULA(IFERROR(LEFT(SPLIT(dados_01!C30, "" ""), 1))))"),"O. L. D. A")</f>
        <v>O. L. D. A</v>
      </c>
      <c r="D30" s="95" t="str">
        <f>dados_01!D30</f>
        <v>16/05/2024</v>
      </c>
      <c r="E30" s="95" t="str">
        <f>CONCATENATE(LEFT(dados_01!E30,3),REPT("*",6),RIGHT(dados_01!E30,2))</f>
        <v>002******90</v>
      </c>
      <c r="F30" s="95" t="str">
        <f>dados_01!F30</f>
        <v>INFANTIL 1</v>
      </c>
      <c r="G30" s="95" t="str">
        <f>dados_01!G30</f>
        <v>CEMEI PROFESSORA CIBELE DE ANDRADE MENDES DE AZEVEDO</v>
      </c>
      <c r="H30" s="95" t="str">
        <f>dados_01!H30</f>
        <v>REGIONAL 7</v>
      </c>
      <c r="I30" s="95">
        <f>dados_01!I30</f>
        <v>0</v>
      </c>
      <c r="J30" s="95"/>
      <c r="K30" s="95"/>
      <c r="L30" s="95"/>
      <c r="M30" s="95"/>
      <c r="N30" s="95"/>
      <c r="O30" s="95"/>
      <c r="P30" s="95"/>
      <c r="Q30" s="95"/>
      <c r="R30" s="95"/>
      <c r="S30" s="95"/>
      <c r="T30" s="95"/>
      <c r="U30" s="95"/>
      <c r="V30" s="95"/>
      <c r="W30" s="95"/>
      <c r="X30" s="95"/>
      <c r="Y30" s="95"/>
      <c r="Z30" s="95"/>
    </row>
    <row r="31" ht="15.75" customHeight="1" spans="1:26">
      <c r="A31" s="95" t="str">
        <f>dados_01!A31</f>
        <v>05/02/2026 15:38:24</v>
      </c>
      <c r="B31" s="95" t="str">
        <f>dados_01!B31</f>
        <v>6</v>
      </c>
      <c r="C31" s="95" t="str">
        <f>IFERROR(__xludf.DUMMYFUNCTION("JOIN("". "", ARRAYFORMULA(IFERROR(LEFT(SPLIT(dados_01!C31, "" ""), 1))))"),"T. E. R. D. B")</f>
        <v>T. E. R. D. B</v>
      </c>
      <c r="D31" s="95" t="str">
        <f>dados_01!D31</f>
        <v>19/05/2024</v>
      </c>
      <c r="E31" s="95" t="str">
        <f>CONCATENATE(LEFT(dados_01!E31,3),REPT("*",6),RIGHT(dados_01!E31,2))</f>
        <v>003******75</v>
      </c>
      <c r="F31" s="95" t="str">
        <f>dados_01!F31</f>
        <v>INFANTIL 1</v>
      </c>
      <c r="G31" s="95" t="str">
        <f>dados_01!G31</f>
        <v>CEMEI PROFESSORA CIBELE DE ANDRADE MENDES DE AZEVEDO</v>
      </c>
      <c r="H31" s="95" t="str">
        <f>dados_01!H31</f>
        <v>REGIONAL 7</v>
      </c>
      <c r="I31" s="95">
        <f>dados_01!I31</f>
        <v>0</v>
      </c>
      <c r="J31" s="95"/>
      <c r="K31" s="95"/>
      <c r="L31" s="95"/>
      <c r="M31" s="95"/>
      <c r="N31" s="95"/>
      <c r="O31" s="95"/>
      <c r="P31" s="95"/>
      <c r="Q31" s="95"/>
      <c r="R31" s="95"/>
      <c r="S31" s="95"/>
      <c r="T31" s="95"/>
      <c r="U31" s="95"/>
      <c r="V31" s="95"/>
      <c r="W31" s="95"/>
      <c r="X31" s="95"/>
      <c r="Y31" s="95"/>
      <c r="Z31" s="95"/>
    </row>
    <row r="32" ht="15.75" customHeight="1" spans="1:26">
      <c r="A32" s="95" t="str">
        <f>dados_01!A32</f>
        <v>05/02/2026 20:35:45</v>
      </c>
      <c r="B32" s="95" t="str">
        <f>dados_01!B32</f>
        <v>7</v>
      </c>
      <c r="C32" s="95" t="str">
        <f>IFERROR(__xludf.DUMMYFUNCTION("JOIN("". "", ARRAYFORMULA(IFERROR(LEFT(SPLIT(dados_01!C32, "" ""), 1))))"),"Y. B. D. S. A")</f>
        <v>Y. B. D. S. A</v>
      </c>
      <c r="D32" s="95" t="str">
        <f>dados_01!D32</f>
        <v>14/03/2025</v>
      </c>
      <c r="E32" s="95" t="str">
        <f>CONCATENATE(LEFT(dados_01!E32,3),REPT("*",6),RIGHT(dados_01!E32,2))</f>
        <v>005******33</v>
      </c>
      <c r="F32" s="95" t="str">
        <f>dados_01!F32</f>
        <v>INFANTIL 1</v>
      </c>
      <c r="G32" s="95" t="str">
        <f>dados_01!G32</f>
        <v>CEMEI PROFESSORA CIBELE DE ANDRADE MENDES DE AZEVEDO</v>
      </c>
      <c r="H32" s="95" t="str">
        <f>dados_01!H32</f>
        <v>REGIONAL 7</v>
      </c>
      <c r="I32" s="95">
        <f>dados_01!I32</f>
        <v>0</v>
      </c>
      <c r="J32" s="95"/>
      <c r="K32" s="95"/>
      <c r="L32" s="95"/>
      <c r="M32" s="95"/>
      <c r="N32" s="95"/>
      <c r="O32" s="95"/>
      <c r="P32" s="95"/>
      <c r="Q32" s="95"/>
      <c r="R32" s="95"/>
      <c r="S32" s="95"/>
      <c r="T32" s="95"/>
      <c r="U32" s="95"/>
      <c r="V32" s="95"/>
      <c r="W32" s="95"/>
      <c r="X32" s="95"/>
      <c r="Y32" s="95"/>
      <c r="Z32" s="95"/>
    </row>
    <row r="33" ht="15.75" customHeight="1" spans="1:26">
      <c r="A33" s="95" t="str">
        <f>dados_01!A33</f>
        <v>23/02/2026 14:03:33</v>
      </c>
      <c r="B33" s="95" t="str">
        <f>dados_01!B33</f>
        <v>8</v>
      </c>
      <c r="C33" s="95" t="str">
        <f>IFERROR(__xludf.DUMMYFUNCTION("JOIN("". "", ARRAYFORMULA(IFERROR(LEFT(SPLIT(dados_01!C33, "" ""), 1))))"),"E. S. D. S")</f>
        <v>E. S. D. S</v>
      </c>
      <c r="D33" s="95" t="str">
        <f>dados_01!D33</f>
        <v>10/04/2024</v>
      </c>
      <c r="E33" s="95" t="str">
        <f>CONCATENATE(LEFT(dados_01!E33,3),REPT("*",6),RIGHT(dados_01!E33,2))</f>
        <v>002******63</v>
      </c>
      <c r="F33" s="95" t="str">
        <f>dados_01!F33</f>
        <v>INFANTIL 1</v>
      </c>
      <c r="G33" s="95" t="str">
        <f>dados_01!G33</f>
        <v>CEMEI PROFESSORA CIBELE DE ANDRADE MENDES DE AZEVEDO</v>
      </c>
      <c r="H33" s="95" t="str">
        <f>dados_01!H33</f>
        <v>REGIONAL 7</v>
      </c>
      <c r="I33" s="95">
        <f>dados_01!I33</f>
        <v>0</v>
      </c>
      <c r="J33" s="95"/>
      <c r="K33" s="95"/>
      <c r="L33" s="95"/>
      <c r="M33" s="95"/>
      <c r="N33" s="95"/>
      <c r="O33" s="95"/>
      <c r="P33" s="95"/>
      <c r="Q33" s="95"/>
      <c r="R33" s="95"/>
      <c r="S33" s="95"/>
      <c r="T33" s="95"/>
      <c r="U33" s="95"/>
      <c r="V33" s="95"/>
      <c r="W33" s="95"/>
      <c r="X33" s="95"/>
      <c r="Y33" s="95"/>
      <c r="Z33" s="95"/>
    </row>
    <row r="34" ht="15.75" customHeight="1" spans="1:26">
      <c r="A34" s="95" t="str">
        <f>dados_01!A34</f>
        <v>16/03/2026 10:09:54</v>
      </c>
      <c r="B34" s="95" t="str">
        <f>dados_01!B34</f>
        <v>9</v>
      </c>
      <c r="C34" s="95" t="str">
        <f>IFERROR(__xludf.DUMMYFUNCTION("JOIN("". "", ARRAYFORMULA(IFERROR(LEFT(SPLIT(dados_01!C34, "" ""), 1))))"),"H. M. C. M. T")</f>
        <v>H. M. C. M. T</v>
      </c>
      <c r="D34" s="95" t="str">
        <f>dados_01!D34</f>
        <v>15/04/2024</v>
      </c>
      <c r="E34" s="95" t="str">
        <f>CONCATENATE(LEFT(dados_01!E34,3),REPT("*",6),RIGHT(dados_01!E34,2))</f>
        <v>002******57</v>
      </c>
      <c r="F34" s="95" t="str">
        <f>dados_01!F34</f>
        <v>INFANTIL 1</v>
      </c>
      <c r="G34" s="95" t="str">
        <f>dados_01!G34</f>
        <v>CEMEI PROFESSORA CIBELE DE ANDRADE MENDES DE AZEVEDO</v>
      </c>
      <c r="H34" s="95" t="str">
        <f>dados_01!H34</f>
        <v>REGIONAL 7</v>
      </c>
      <c r="I34" s="95">
        <f>dados_01!I34</f>
        <v>0</v>
      </c>
      <c r="J34" s="95"/>
      <c r="K34" s="95"/>
      <c r="L34" s="95"/>
      <c r="M34" s="95"/>
      <c r="N34" s="95"/>
      <c r="O34" s="95"/>
      <c r="P34" s="95"/>
      <c r="Q34" s="95"/>
      <c r="R34" s="95"/>
      <c r="S34" s="95"/>
      <c r="T34" s="95"/>
      <c r="U34" s="95"/>
      <c r="V34" s="95"/>
      <c r="W34" s="95"/>
      <c r="X34" s="95"/>
      <c r="Y34" s="95"/>
      <c r="Z34" s="95"/>
    </row>
    <row r="35" ht="15.75" customHeight="1" spans="1:26">
      <c r="A35" s="95" t="str">
        <f>dados_01!A35</f>
        <v>18/03/2026 12:28:10</v>
      </c>
      <c r="B35" s="95" t="str">
        <f>dados_01!B35</f>
        <v>10</v>
      </c>
      <c r="C35" s="95" t="str">
        <f>IFERROR(__xludf.DUMMYFUNCTION("JOIN("". "", ARRAYFORMULA(IFERROR(LEFT(SPLIT(dados_01!C35, "" ""), 1))))"),"L. E. S. D. S")</f>
        <v>L. E. S. D. S</v>
      </c>
      <c r="D35" s="95" t="str">
        <f>dados_01!D35</f>
        <v>19/01/2026</v>
      </c>
      <c r="E35" s="95" t="str">
        <f>CONCATENATE(LEFT(dados_01!E35,3),REPT("*",6),RIGHT(dados_01!E35,2))</f>
        <v>045******34</v>
      </c>
      <c r="F35" s="95" t="str">
        <f>dados_01!F35</f>
        <v>INFANTIL 1</v>
      </c>
      <c r="G35" s="95" t="str">
        <f>dados_01!G35</f>
        <v>CEMEI PROFESSORA CIBELE DE ANDRADE MENDES DE AZEVEDO</v>
      </c>
      <c r="H35" s="95" t="str">
        <f>dados_01!H35</f>
        <v>REGIONAL 7</v>
      </c>
      <c r="I35" s="95">
        <f>dados_01!I35</f>
        <v>0</v>
      </c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5"/>
    </row>
    <row r="36" ht="15.75" customHeight="1" spans="1:26">
      <c r="A36" s="95" t="str">
        <f>dados_01!A36</f>
        <v>26/03/2026 18:22:32</v>
      </c>
      <c r="B36" s="95" t="str">
        <f>dados_01!B36</f>
        <v>11</v>
      </c>
      <c r="C36" s="95" t="str">
        <f>IFERROR(__xludf.DUMMYFUNCTION("JOIN("". "", ARRAYFORMULA(IFERROR(LEFT(SPLIT(dados_01!C36, "" ""), 1))))"),"A. M. A. D. B")</f>
        <v>A. M. A. D. B</v>
      </c>
      <c r="D36" s="95" t="str">
        <f>dados_01!D36</f>
        <v>20/11/2024</v>
      </c>
      <c r="E36" s="95" t="str">
        <f>CONCATENATE(LEFT(dados_01!E36,3),REPT("*",6),RIGHT(dados_01!E36,2))</f>
        <v>004******56</v>
      </c>
      <c r="F36" s="95" t="str">
        <f>dados_01!F36</f>
        <v>INFANTIL 1</v>
      </c>
      <c r="G36" s="95" t="str">
        <f>dados_01!G36</f>
        <v>CEMEI PROFESSORA CIBELE DE ANDRADE MENDES DE AZEVEDO</v>
      </c>
      <c r="H36" s="95" t="str">
        <f>dados_01!H36</f>
        <v>REGIONAL 7</v>
      </c>
      <c r="I36" s="95">
        <f>dados_01!I36</f>
        <v>0</v>
      </c>
      <c r="J36" s="95"/>
      <c r="K36" s="95"/>
      <c r="L36" s="95"/>
      <c r="M36" s="95"/>
      <c r="N36" s="95"/>
      <c r="O36" s="95"/>
      <c r="P36" s="95"/>
      <c r="Q36" s="95"/>
      <c r="R36" s="95"/>
      <c r="S36" s="95"/>
      <c r="T36" s="95"/>
      <c r="U36" s="95"/>
      <c r="V36" s="95"/>
      <c r="W36" s="95"/>
      <c r="X36" s="95"/>
      <c r="Y36" s="95"/>
      <c r="Z36" s="95"/>
    </row>
    <row r="37" ht="15.75" customHeight="1" spans="1:26">
      <c r="A37" s="95" t="str">
        <f>dados_01!A37</f>
        <v>29/04/2026 15:44:18</v>
      </c>
      <c r="B37" s="95" t="str">
        <f>dados_01!B37</f>
        <v>12</v>
      </c>
      <c r="C37" s="95" t="str">
        <f>IFERROR(__xludf.DUMMYFUNCTION("JOIN("". "", ARRAYFORMULA(IFERROR(LEFT(SPLIT(dados_01!C37, "" ""), 1))))"),"A. S. C. D. L")</f>
        <v>A. S. C. D. L</v>
      </c>
      <c r="D37" s="95" t="str">
        <f>dados_01!D37</f>
        <v>06/05/2025</v>
      </c>
      <c r="E37" s="95" t="str">
        <f>CONCATENATE(LEFT(dados_01!E37,3),REPT("*",6),RIGHT(dados_01!E37,2))</f>
        <v>006******16</v>
      </c>
      <c r="F37" s="95" t="str">
        <f>dados_01!F37</f>
        <v>INFANTIL 1</v>
      </c>
      <c r="G37" s="95" t="str">
        <f>dados_01!G37</f>
        <v>CEMEI PROFESSORA CIBELE DE ANDRADE MENDES DE AZEVEDO</v>
      </c>
      <c r="H37" s="95" t="str">
        <f>dados_01!H37</f>
        <v>REGIONAL 7</v>
      </c>
      <c r="I37" s="95">
        <f>dados_01!I37</f>
        <v>0</v>
      </c>
      <c r="J37" s="95"/>
      <c r="K37" s="95"/>
      <c r="L37" s="95"/>
      <c r="M37" s="95"/>
      <c r="N37" s="95"/>
      <c r="O37" s="95"/>
      <c r="P37" s="95"/>
      <c r="Q37" s="95"/>
      <c r="R37" s="95"/>
      <c r="S37" s="95"/>
      <c r="T37" s="95"/>
      <c r="U37" s="95"/>
      <c r="V37" s="95"/>
      <c r="W37" s="95"/>
      <c r="X37" s="95"/>
      <c r="Y37" s="95"/>
      <c r="Z37" s="95"/>
    </row>
    <row r="38" ht="15.75" customHeight="1" spans="1:26">
      <c r="A38" s="95" t="str">
        <f>dados_01!A38</f>
        <v>19/05/2026 10:34:49</v>
      </c>
      <c r="B38" s="95" t="str">
        <f>dados_01!B38</f>
        <v>13</v>
      </c>
      <c r="C38" s="95" t="str">
        <f>IFERROR(__xludf.DUMMYFUNCTION("JOIN("". "", ARRAYFORMULA(IFERROR(LEFT(SPLIT(dados_01!C38, "" ""), 1))))"),"H. C. C")</f>
        <v>H. C. C</v>
      </c>
      <c r="D38" s="95" t="str">
        <f>dados_01!D38</f>
        <v>25/10/2025</v>
      </c>
      <c r="E38" s="95" t="str">
        <f>CONCATENATE(LEFT(dados_01!E38,3),REPT("*",6),RIGHT(dados_01!E38,2))</f>
        <v>017******72</v>
      </c>
      <c r="F38" s="95" t="str">
        <f>dados_01!F38</f>
        <v>INFANTIL 1</v>
      </c>
      <c r="G38" s="95" t="str">
        <f>dados_01!G38</f>
        <v>CEMEI PROFESSORA CIBELE DE ANDRADE MENDES DE AZEVEDO</v>
      </c>
      <c r="H38" s="95" t="str">
        <f>dados_01!H38</f>
        <v>REGIONAL 7</v>
      </c>
      <c r="I38" s="95">
        <f>dados_01!I38</f>
        <v>0</v>
      </c>
      <c r="J38" s="95"/>
      <c r="K38" s="95"/>
      <c r="L38" s="95"/>
      <c r="M38" s="95"/>
      <c r="N38" s="95"/>
      <c r="O38" s="95"/>
      <c r="P38" s="95"/>
      <c r="Q38" s="95"/>
      <c r="R38" s="95"/>
      <c r="S38" s="95"/>
      <c r="T38" s="95"/>
      <c r="U38" s="95"/>
      <c r="V38" s="95"/>
      <c r="W38" s="95"/>
      <c r="X38" s="95"/>
      <c r="Y38" s="95"/>
      <c r="Z38" s="95"/>
    </row>
    <row r="39" ht="15.75" customHeight="1" spans="1:26">
      <c r="A39" s="95" t="str">
        <f>dados_01!A39</f>
        <v>25/05/2026 18:01:52</v>
      </c>
      <c r="B39" s="95" t="str">
        <f>dados_01!B39</f>
        <v>14</v>
      </c>
      <c r="C39" s="95" t="str">
        <f>IFERROR(__xludf.DUMMYFUNCTION("JOIN("". "", ARRAYFORMULA(IFERROR(LEFT(SPLIT(dados_01!C39, "" ""), 1))))"),"N. U. A. d. S")</f>
        <v>N. U. A. d. S</v>
      </c>
      <c r="D39" s="95" t="str">
        <f>dados_01!D39</f>
        <v>15/04/2025</v>
      </c>
      <c r="E39" s="95" t="str">
        <f>CONCATENATE(LEFT(dados_01!E39,3),REPT("*",6),RIGHT(dados_01!E39,2))</f>
        <v>005******36</v>
      </c>
      <c r="F39" s="95" t="str">
        <f>dados_01!F39</f>
        <v>INFANTIL 1</v>
      </c>
      <c r="G39" s="95" t="str">
        <f>dados_01!G39</f>
        <v>CEMEI PROFESSORA CIBELE DE ANDRADE MENDES DE AZEVEDO</v>
      </c>
      <c r="H39" s="95" t="str">
        <f>dados_01!H39</f>
        <v>REGIONAL 7</v>
      </c>
      <c r="I39" s="95">
        <f>dados_01!I39</f>
        <v>0</v>
      </c>
      <c r="J39" s="95"/>
      <c r="K39" s="95"/>
      <c r="L39" s="95"/>
      <c r="M39" s="95"/>
      <c r="N39" s="95"/>
      <c r="O39" s="95"/>
      <c r="P39" s="95"/>
      <c r="Q39" s="95"/>
      <c r="R39" s="95"/>
      <c r="S39" s="95"/>
      <c r="T39" s="95"/>
      <c r="U39" s="95"/>
      <c r="V39" s="95"/>
      <c r="W39" s="95"/>
      <c r="X39" s="95"/>
      <c r="Y39" s="95"/>
      <c r="Z39" s="95"/>
    </row>
    <row r="40" ht="15.75" customHeight="1" spans="1:26">
      <c r="A40" s="95" t="str">
        <f>dados_01!A40</f>
        <v>10/03/2026 12:16:11</v>
      </c>
      <c r="B40" s="95" t="str">
        <f>dados_01!B40</f>
        <v>1</v>
      </c>
      <c r="C40" s="95" t="str">
        <f>IFERROR(__xludf.DUMMYFUNCTION("JOIN("". "", ARRAYFORMULA(IFERROR(LEFT(SPLIT(dados_01!C40, "" ""), 1))))"),"M. V. C. D. L")</f>
        <v>M. V. C. D. L</v>
      </c>
      <c r="D40" s="95" t="str">
        <f>dados_01!D40</f>
        <v>17/01/2024</v>
      </c>
      <c r="E40" s="95" t="str">
        <f>CONCATENATE(LEFT(dados_01!E40,3),REPT("*",6),RIGHT(dados_01!E40,2))</f>
        <v>001******86</v>
      </c>
      <c r="F40" s="95" t="str">
        <f>dados_01!F40</f>
        <v>INFANTIL 2</v>
      </c>
      <c r="G40" s="95" t="str">
        <f>dados_01!G40</f>
        <v>CEMEI PROFESSORA CIBELE DE ANDRADE MENDES DE AZEVEDO</v>
      </c>
      <c r="H40" s="95" t="str">
        <f>dados_01!H40</f>
        <v>REGIONAL 7</v>
      </c>
      <c r="I40" s="95">
        <f>dados_01!I40</f>
        <v>0</v>
      </c>
      <c r="J40" s="95"/>
      <c r="K40" s="95"/>
      <c r="L40" s="95"/>
      <c r="M40" s="95"/>
      <c r="N40" s="95"/>
      <c r="O40" s="95"/>
      <c r="P40" s="95"/>
      <c r="Q40" s="95"/>
      <c r="R40" s="95"/>
      <c r="S40" s="95"/>
      <c r="T40" s="95"/>
      <c r="U40" s="95"/>
      <c r="V40" s="95"/>
      <c r="W40" s="95"/>
      <c r="X40" s="95"/>
      <c r="Y40" s="95"/>
      <c r="Z40" s="95"/>
    </row>
    <row r="41" ht="15.75" customHeight="1" spans="1:26">
      <c r="A41" s="95" t="str">
        <f>dados_01!A41</f>
        <v>17/03/2026 09:54:44</v>
      </c>
      <c r="B41" s="95" t="str">
        <f>dados_01!B41</f>
        <v>2</v>
      </c>
      <c r="C41" s="95" t="str">
        <f>IFERROR(__xludf.DUMMYFUNCTION("JOIN("". "", ARRAYFORMULA(IFERROR(LEFT(SPLIT(dados_01!C41, "" ""), 1))))"),"E. S. S. D. S")</f>
        <v>E. S. S. D. S</v>
      </c>
      <c r="D41" s="95" t="str">
        <f>dados_01!D41</f>
        <v>03/01/2024</v>
      </c>
      <c r="E41" s="95" t="str">
        <f>CONCATENATE(LEFT(dados_01!E41,3),REPT("*",6),RIGHT(dados_01!E41,2))</f>
        <v>001******28</v>
      </c>
      <c r="F41" s="95" t="str">
        <f>dados_01!F41</f>
        <v>INFANTIL 2</v>
      </c>
      <c r="G41" s="95" t="str">
        <f>dados_01!G41</f>
        <v>CEMEI PROFESSORA CIBELE DE ANDRADE MENDES DE AZEVEDO</v>
      </c>
      <c r="H41" s="95" t="str">
        <f>dados_01!H41</f>
        <v>REGIONAL 7</v>
      </c>
      <c r="I41" s="95">
        <f>dados_01!I41</f>
        <v>0</v>
      </c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</row>
    <row r="42" ht="15.75" customHeight="1" spans="1:26">
      <c r="A42" s="95" t="str">
        <f>dados_01!A42</f>
        <v>05/05/2026 11:36:38</v>
      </c>
      <c r="B42" s="95" t="str">
        <f>dados_01!B42</f>
        <v>3</v>
      </c>
      <c r="C42" s="95" t="str">
        <f>IFERROR(__xludf.DUMMYFUNCTION("JOIN("". "", ARRAYFORMULA(IFERROR(LEFT(SPLIT(dados_01!C42, "" ""), 1))))"),"L. M. G. A")</f>
        <v>L. M. G. A</v>
      </c>
      <c r="D42" s="95" t="str">
        <f>dados_01!D42</f>
        <v>08/01/2024</v>
      </c>
      <c r="E42" s="95" t="str">
        <f>CONCATENATE(LEFT(dados_01!E42,3),REPT("*",6),RIGHT(dados_01!E42,2))</f>
        <v>001******55</v>
      </c>
      <c r="F42" s="95" t="str">
        <f>dados_01!F42</f>
        <v>INFANTIL 2</v>
      </c>
      <c r="G42" s="95" t="str">
        <f>dados_01!G42</f>
        <v>CEMEI PROFESSORA CIBELE DE ANDRADE MENDES DE AZEVEDO</v>
      </c>
      <c r="H42" s="95" t="str">
        <f>dados_01!H42</f>
        <v>REGIONAL 7</v>
      </c>
      <c r="I42" s="95">
        <f>dados_01!I42</f>
        <v>0</v>
      </c>
      <c r="J42" s="95"/>
      <c r="K42" s="95"/>
      <c r="L42" s="95"/>
      <c r="M42" s="95"/>
      <c r="N42" s="95"/>
      <c r="O42" s="95"/>
      <c r="P42" s="95"/>
      <c r="Q42" s="95"/>
      <c r="R42" s="95"/>
      <c r="S42" s="95"/>
      <c r="T42" s="95"/>
      <c r="U42" s="95"/>
      <c r="V42" s="95"/>
      <c r="W42" s="95"/>
      <c r="X42" s="95"/>
      <c r="Y42" s="95"/>
      <c r="Z42" s="95"/>
    </row>
    <row r="43" ht="15.75" customHeight="1" spans="1:26">
      <c r="A43" s="95" t="str">
        <f>dados_01!A43</f>
        <v>25/05/2026 18:09:35</v>
      </c>
      <c r="B43" s="95" t="str">
        <f>dados_01!B43</f>
        <v>4</v>
      </c>
      <c r="C43" s="95" t="str">
        <f>IFERROR(__xludf.DUMMYFUNCTION("JOIN("". "", ARRAYFORMULA(IFERROR(LEFT(SPLIT(dados_01!C43, "" ""), 1))))"),"A. G. A. T. d. s")</f>
        <v>A. G. A. T. d. s</v>
      </c>
      <c r="D43" s="95" t="str">
        <f>dados_01!D43</f>
        <v>29/02/2024</v>
      </c>
      <c r="E43" s="95" t="str">
        <f>CONCATENATE(LEFT(dados_01!E43,3),REPT("*",6),RIGHT(dados_01!E43,2))</f>
        <v>002******20</v>
      </c>
      <c r="F43" s="95" t="str">
        <f>dados_01!F43</f>
        <v>INFANTIL 2</v>
      </c>
      <c r="G43" s="95" t="str">
        <f>dados_01!G43</f>
        <v>CEMEI PROFESSORA CIBELE DE ANDRADE MENDES DE AZEVEDO</v>
      </c>
      <c r="H43" s="95" t="str">
        <f>dados_01!H43</f>
        <v>REGIONAL 7</v>
      </c>
      <c r="I43" s="95">
        <f>dados_01!I43</f>
        <v>0</v>
      </c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</row>
    <row r="44" ht="15.75" customHeight="1" spans="1:26">
      <c r="A44" s="95" t="str">
        <f>dados_01!A44</f>
        <v>09/03/2026 13:36:35</v>
      </c>
      <c r="B44" s="95" t="str">
        <f>dados_01!B44</f>
        <v>1</v>
      </c>
      <c r="C44" s="95" t="str">
        <f>IFERROR(__xludf.DUMMYFUNCTION("JOIN("". "", ARRAYFORMULA(IFERROR(LEFT(SPLIT(dados_01!C44, "" ""), 1))))"),"B. M")</f>
        <v>B. M</v>
      </c>
      <c r="D44" s="95" t="str">
        <f>dados_01!D44</f>
        <v>07/02/2023</v>
      </c>
      <c r="E44" s="95" t="str">
        <f>CONCATENATE(LEFT(dados_01!E44,3),REPT("*",6),RIGHT(dados_01!E44,2))</f>
        <v>006******11</v>
      </c>
      <c r="F44" s="95" t="str">
        <f>dados_01!F44</f>
        <v>INFANTIL 3</v>
      </c>
      <c r="G44" s="95" t="str">
        <f>dados_01!G44</f>
        <v>CEMEI PROFESSORA CIBELE DE ANDRADE MENDES DE AZEVEDO</v>
      </c>
      <c r="H44" s="95" t="str">
        <f>dados_01!H44</f>
        <v>REGIONAL 7</v>
      </c>
      <c r="I44" s="95">
        <f>dados_01!I44</f>
        <v>0</v>
      </c>
      <c r="J44" s="95"/>
      <c r="K44" s="95"/>
      <c r="L44" s="95"/>
      <c r="M44" s="95"/>
      <c r="N44" s="95"/>
      <c r="O44" s="95"/>
      <c r="P44" s="95"/>
      <c r="Q44" s="95"/>
      <c r="R44" s="95"/>
      <c r="S44" s="95"/>
      <c r="T44" s="95"/>
      <c r="U44" s="95"/>
      <c r="V44" s="95"/>
      <c r="W44" s="95"/>
      <c r="X44" s="95"/>
      <c r="Y44" s="95"/>
      <c r="Z44" s="95"/>
    </row>
    <row r="45" ht="15.75" customHeight="1" spans="1:26">
      <c r="A45" s="95" t="str">
        <f>dados_01!A45</f>
        <v>23/03/2026 18:55:05</v>
      </c>
      <c r="B45" s="95" t="str">
        <f>dados_01!B45</f>
        <v>2</v>
      </c>
      <c r="C45" s="95" t="str">
        <f>IFERROR(__xludf.DUMMYFUNCTION("JOIN("". "", ARRAYFORMULA(IFERROR(LEFT(SPLIT(dados_01!C45, "" ""), 1))))"),"F. G. C. L")</f>
        <v>F. G. C. L</v>
      </c>
      <c r="D45" s="95" t="str">
        <f>dados_01!D45</f>
        <v>08/06/2022</v>
      </c>
      <c r="E45" s="95" t="str">
        <f>CONCATENATE(LEFT(dados_01!E45,3),REPT("*",6),RIGHT(dados_01!E45,2))</f>
        <v>181******24</v>
      </c>
      <c r="F45" s="95" t="str">
        <f>dados_01!F45</f>
        <v>INFANTIL 3</v>
      </c>
      <c r="G45" s="95" t="str">
        <f>dados_01!G45</f>
        <v>CEMEI PROFESSORA CIBELE DE ANDRADE MENDES DE AZEVEDO</v>
      </c>
      <c r="H45" s="95" t="str">
        <f>dados_01!H45</f>
        <v>REGIONAL 7</v>
      </c>
      <c r="I45" s="95">
        <f>dados_01!I45</f>
        <v>0</v>
      </c>
      <c r="J45" s="95"/>
      <c r="K45" s="95"/>
      <c r="L45" s="95"/>
      <c r="M45" s="95"/>
      <c r="N45" s="95"/>
      <c r="O45" s="95"/>
      <c r="P45" s="95"/>
      <c r="Q45" s="95"/>
      <c r="R45" s="95"/>
      <c r="S45" s="95"/>
      <c r="T45" s="95"/>
      <c r="U45" s="95"/>
      <c r="V45" s="95"/>
      <c r="W45" s="95"/>
      <c r="X45" s="95"/>
      <c r="Y45" s="95"/>
      <c r="Z45" s="95"/>
    </row>
    <row r="46" ht="15.75" customHeight="1" spans="1:26">
      <c r="A46" s="95" t="str">
        <f>dados_01!A46</f>
        <v>22/04/2026 15:18:51</v>
      </c>
      <c r="B46" s="95" t="str">
        <f>dados_01!B46</f>
        <v>3</v>
      </c>
      <c r="C46" s="95" t="str">
        <f>IFERROR(__xludf.DUMMYFUNCTION("JOIN("". "", ARRAYFORMULA(IFERROR(LEFT(SPLIT(dados_01!C46, "" ""), 1))))"),"A. M. M. D. S")</f>
        <v>A. M. M. D. S</v>
      </c>
      <c r="D46" s="95" t="str">
        <f>dados_01!D46</f>
        <v>05/01/2023</v>
      </c>
      <c r="E46" s="95" t="str">
        <f>CONCATENATE(LEFT(dados_01!E46,3),REPT("*",6),RIGHT(dados_01!E46,2))</f>
        <v>184******20</v>
      </c>
      <c r="F46" s="95" t="str">
        <f>dados_01!F46</f>
        <v>INFANTIL 3</v>
      </c>
      <c r="G46" s="95" t="str">
        <f>dados_01!G46</f>
        <v>CEMEI PROFESSORA CIBELE DE ANDRADE MENDES DE AZEVEDO</v>
      </c>
      <c r="H46" s="95" t="str">
        <f>dados_01!H46</f>
        <v>REGIONAL 7</v>
      </c>
      <c r="I46" s="95">
        <f>dados_01!I46</f>
        <v>0</v>
      </c>
      <c r="J46" s="95"/>
      <c r="K46" s="95"/>
      <c r="L46" s="95"/>
      <c r="M46" s="95"/>
      <c r="N46" s="95"/>
      <c r="O46" s="95"/>
      <c r="P46" s="95"/>
      <c r="Q46" s="95"/>
      <c r="R46" s="95"/>
      <c r="S46" s="95"/>
      <c r="T46" s="95"/>
      <c r="U46" s="95"/>
      <c r="V46" s="95"/>
      <c r="W46" s="95"/>
      <c r="X46" s="95"/>
      <c r="Y46" s="95"/>
      <c r="Z46" s="95"/>
    </row>
    <row r="47" ht="15.75" customHeight="1" spans="1:26">
      <c r="A47" s="95" t="str">
        <f>dados_01!A47</f>
        <v>23/04/2026 10:57:36</v>
      </c>
      <c r="B47" s="95" t="str">
        <f>dados_01!B47</f>
        <v>4</v>
      </c>
      <c r="C47" s="95" t="str">
        <f>IFERROR(__xludf.DUMMYFUNCTION("JOIN("". "", ARRAYFORMULA(IFERROR(LEFT(SPLIT(dados_01!C47, "" ""), 1))))"),"A. V. S. D. S")</f>
        <v>A. V. S. D. S</v>
      </c>
      <c r="D47" s="95" t="str">
        <f>dados_01!D47</f>
        <v>18/11/2022</v>
      </c>
      <c r="E47" s="95" t="str">
        <f>CONCATENATE(LEFT(dados_01!E47,3),REPT("*",6),RIGHT(dados_01!E47,2))</f>
        <v>183******13</v>
      </c>
      <c r="F47" s="95" t="str">
        <f>dados_01!F47</f>
        <v>INFANTIL 3</v>
      </c>
      <c r="G47" s="95" t="str">
        <f>dados_01!G47</f>
        <v>CEMEI PROFESSORA CIBELE DE ANDRADE MENDES DE AZEVEDO</v>
      </c>
      <c r="H47" s="95" t="str">
        <f>dados_01!H47</f>
        <v>REGIONAL 7</v>
      </c>
      <c r="I47" s="95">
        <f>dados_01!I47</f>
        <v>0</v>
      </c>
      <c r="J47" s="95"/>
      <c r="K47" s="95"/>
      <c r="L47" s="95"/>
      <c r="M47" s="95"/>
      <c r="N47" s="95"/>
      <c r="O47" s="95"/>
      <c r="P47" s="95"/>
      <c r="Q47" s="95"/>
      <c r="R47" s="95"/>
      <c r="S47" s="95"/>
      <c r="T47" s="95"/>
      <c r="U47" s="95"/>
      <c r="V47" s="95"/>
      <c r="W47" s="95"/>
      <c r="X47" s="95"/>
      <c r="Y47" s="95"/>
      <c r="Z47" s="95"/>
    </row>
    <row r="48" ht="15.75" customHeight="1" spans="1:26">
      <c r="A48" s="95" t="str">
        <f>dados_01!A48</f>
        <v>13/05/2026 10:59:27</v>
      </c>
      <c r="B48" s="95" t="str">
        <f>dados_01!B48</f>
        <v>5</v>
      </c>
      <c r="C48" s="95" t="str">
        <f>IFERROR(__xludf.DUMMYFUNCTION("JOIN("". "", ARRAYFORMULA(IFERROR(LEFT(SPLIT(dados_01!C48, "" ""), 1))))"),"R. L. D. S. M")</f>
        <v>R. L. D. S. M</v>
      </c>
      <c r="D48" s="95" t="str">
        <f>dados_01!D48</f>
        <v>21/09/2022</v>
      </c>
      <c r="E48" s="95" t="str">
        <f>CONCATENATE(LEFT(dados_01!E48,3),REPT("*",6),RIGHT(dados_01!E48,2))</f>
        <v>182******16</v>
      </c>
      <c r="F48" s="95" t="str">
        <f>dados_01!F48</f>
        <v>INFANTIL 3</v>
      </c>
      <c r="G48" s="95" t="str">
        <f>dados_01!G48</f>
        <v>CEMEI PROFESSORA CIBELE DE ANDRADE MENDES DE AZEVEDO</v>
      </c>
      <c r="H48" s="95" t="str">
        <f>dados_01!H48</f>
        <v>REGIONAL 7</v>
      </c>
      <c r="I48" s="95">
        <f>dados_01!I48</f>
        <v>0</v>
      </c>
      <c r="J48" s="95"/>
      <c r="K48" s="95"/>
      <c r="L48" s="95"/>
      <c r="M48" s="95"/>
      <c r="N48" s="95"/>
      <c r="O48" s="95"/>
      <c r="P48" s="95"/>
      <c r="Q48" s="95"/>
      <c r="R48" s="95"/>
      <c r="S48" s="95"/>
      <c r="T48" s="95"/>
      <c r="U48" s="95"/>
      <c r="V48" s="95"/>
      <c r="W48" s="95"/>
      <c r="X48" s="95"/>
      <c r="Y48" s="95"/>
      <c r="Z48" s="95"/>
    </row>
    <row r="49" ht="15.75" customHeight="1" spans="1:26">
      <c r="A49" s="95" t="str">
        <f>dados_01!A49</f>
        <v>28/01/2026 08:05:20</v>
      </c>
      <c r="B49" s="95" t="str">
        <f>dados_01!B49</f>
        <v>1</v>
      </c>
      <c r="C49" s="95" t="str">
        <f>IFERROR(__xludf.DUMMYFUNCTION("JOIN("". "", ARRAYFORMULA(IFERROR(LEFT(SPLIT(dados_01!C49, "" ""), 1))))"),"R. L. S")</f>
        <v>R. L. S</v>
      </c>
      <c r="D49" s="95" t="str">
        <f>dados_01!D49</f>
        <v>29/08/2024</v>
      </c>
      <c r="E49" s="95" t="str">
        <f>CONCATENATE(LEFT(dados_01!E49,3),REPT("*",6),RIGHT(dados_01!E49,2))</f>
        <v>003******40</v>
      </c>
      <c r="F49" s="95" t="str">
        <f>dados_01!F49</f>
        <v>INFANTIL 1</v>
      </c>
      <c r="G49" s="95" t="str">
        <f>dados_01!G49</f>
        <v>CEMEI PROFESSORA LINDOMAR DOMINGOS DA SILVA ANJOS</v>
      </c>
      <c r="H49" s="95" t="str">
        <f>dados_01!H49</f>
        <v>REGIONAL 5</v>
      </c>
      <c r="I49" s="95">
        <f>dados_01!I49</f>
        <v>0</v>
      </c>
      <c r="J49" s="95"/>
      <c r="K49" s="95"/>
      <c r="L49" s="95"/>
      <c r="M49" s="95"/>
      <c r="N49" s="95"/>
      <c r="O49" s="95"/>
      <c r="P49" s="95"/>
      <c r="Q49" s="95"/>
      <c r="R49" s="95"/>
      <c r="S49" s="95"/>
      <c r="T49" s="95"/>
      <c r="U49" s="95"/>
      <c r="V49" s="95"/>
      <c r="W49" s="95"/>
      <c r="X49" s="95"/>
      <c r="Y49" s="95"/>
      <c r="Z49" s="95"/>
    </row>
    <row r="50" ht="15.75" customHeight="1" spans="1:26">
      <c r="A50" s="95" t="str">
        <f>dados_01!A50</f>
        <v>28/01/2026 08:08:23</v>
      </c>
      <c r="B50" s="95" t="str">
        <f>dados_01!B50</f>
        <v>2</v>
      </c>
      <c r="C50" s="95" t="str">
        <f>IFERROR(__xludf.DUMMYFUNCTION("JOIN("". "", ARRAYFORMULA(IFERROR(LEFT(SPLIT(dados_01!C50, "" ""), 1))))"),"L. S. D. S. A")</f>
        <v>L. S. D. S. A</v>
      </c>
      <c r="D50" s="95" t="str">
        <f>dados_01!D50</f>
        <v>07/11/2024</v>
      </c>
      <c r="E50" s="95" t="str">
        <f>CONCATENATE(LEFT(dados_01!E50,3),REPT("*",6),RIGHT(dados_01!E50,2))</f>
        <v>004******67</v>
      </c>
      <c r="F50" s="95" t="str">
        <f>dados_01!F50</f>
        <v>INFANTIL 1</v>
      </c>
      <c r="G50" s="95" t="str">
        <f>dados_01!G50</f>
        <v>CEMEI PROFESSORA LINDOMAR DOMINGOS DA SILVA ANJOS</v>
      </c>
      <c r="H50" s="95" t="str">
        <f>dados_01!H50</f>
        <v>REGIONAL 5</v>
      </c>
      <c r="I50" s="95">
        <f>dados_01!I50</f>
        <v>0</v>
      </c>
      <c r="J50" s="95"/>
      <c r="K50" s="95"/>
      <c r="L50" s="95"/>
      <c r="M50" s="95"/>
      <c r="N50" s="95"/>
      <c r="O50" s="95"/>
      <c r="P50" s="95"/>
      <c r="Q50" s="95"/>
      <c r="R50" s="95"/>
      <c r="S50" s="95"/>
      <c r="T50" s="95"/>
      <c r="U50" s="95"/>
      <c r="V50" s="95"/>
      <c r="W50" s="95"/>
      <c r="X50" s="95"/>
      <c r="Y50" s="95"/>
      <c r="Z50" s="95"/>
    </row>
    <row r="51" ht="15.75" customHeight="1" spans="1:26">
      <c r="A51" s="95" t="str">
        <f>dados_01!A51</f>
        <v>28/01/2026 08:08:37</v>
      </c>
      <c r="B51" s="95" t="str">
        <f>dados_01!B51</f>
        <v>3</v>
      </c>
      <c r="C51" s="95" t="str">
        <f>IFERROR(__xludf.DUMMYFUNCTION("JOIN("". "", ARRAYFORMULA(IFERROR(LEFT(SPLIT(dados_01!C51, "" ""), 1))))"),"B. A. C. S")</f>
        <v>B. A. C. S</v>
      </c>
      <c r="D51" s="95" t="str">
        <f>dados_01!D51</f>
        <v>13/09/2024</v>
      </c>
      <c r="E51" s="95" t="str">
        <f>CONCATENATE(LEFT(dados_01!E51,3),REPT("*",6),RIGHT(dados_01!E51,2))</f>
        <v>004******74</v>
      </c>
      <c r="F51" s="95" t="str">
        <f>dados_01!F51</f>
        <v>INFANTIL 1</v>
      </c>
      <c r="G51" s="95" t="str">
        <f>dados_01!G51</f>
        <v>CEMEI PROFESSORA LINDOMAR DOMINGOS DA SILVA ANJOS</v>
      </c>
      <c r="H51" s="95" t="str">
        <f>dados_01!H51</f>
        <v>REGIONAL 5</v>
      </c>
      <c r="I51" s="95">
        <f>dados_01!I51</f>
        <v>0</v>
      </c>
      <c r="J51" s="95"/>
      <c r="K51" s="95"/>
      <c r="L51" s="95"/>
      <c r="M51" s="95"/>
      <c r="N51" s="95"/>
      <c r="O51" s="95"/>
      <c r="P51" s="95"/>
      <c r="Q51" s="95"/>
      <c r="R51" s="95"/>
      <c r="S51" s="95"/>
      <c r="T51" s="95"/>
      <c r="U51" s="95"/>
      <c r="V51" s="95"/>
      <c r="W51" s="95"/>
      <c r="X51" s="95"/>
      <c r="Y51" s="95"/>
      <c r="Z51" s="95"/>
    </row>
    <row r="52" ht="15.75" customHeight="1" spans="1:26">
      <c r="A52" s="95" t="str">
        <f>dados_01!A52</f>
        <v>28/01/2026 08:11:25</v>
      </c>
      <c r="B52" s="95" t="str">
        <f>dados_01!B52</f>
        <v>4</v>
      </c>
      <c r="C52" s="95" t="str">
        <f>IFERROR(__xludf.DUMMYFUNCTION("JOIN("". "", ARRAYFORMULA(IFERROR(LEFT(SPLIT(dados_01!C52, "" ""), 1))))"),"A. L. C. D. S. M")</f>
        <v>A. L. C. D. S. M</v>
      </c>
      <c r="D52" s="95" t="str">
        <f>dados_01!D52</f>
        <v>20/04/2024</v>
      </c>
      <c r="E52" s="95" t="str">
        <f>CONCATENATE(LEFT(dados_01!E52,3),REPT("*",6),RIGHT(dados_01!E52,2))</f>
        <v>170******77</v>
      </c>
      <c r="F52" s="95" t="str">
        <f>dados_01!F52</f>
        <v>INFANTIL 1</v>
      </c>
      <c r="G52" s="95" t="str">
        <f>dados_01!G52</f>
        <v>CEMEI PROFESSORA LINDOMAR DOMINGOS DA SILVA ANJOS</v>
      </c>
      <c r="H52" s="95" t="str">
        <f>dados_01!H52</f>
        <v>REGIONAL 5</v>
      </c>
      <c r="I52" s="95">
        <f>dados_01!I52</f>
        <v>0</v>
      </c>
      <c r="J52" s="95"/>
      <c r="K52" s="95"/>
      <c r="L52" s="95"/>
      <c r="M52" s="95"/>
      <c r="N52" s="95"/>
      <c r="O52" s="95"/>
      <c r="P52" s="95"/>
      <c r="Q52" s="95"/>
      <c r="R52" s="95"/>
      <c r="S52" s="95"/>
      <c r="T52" s="95"/>
      <c r="U52" s="95"/>
      <c r="V52" s="95"/>
      <c r="W52" s="95"/>
      <c r="X52" s="95"/>
      <c r="Y52" s="95"/>
      <c r="Z52" s="95"/>
    </row>
    <row r="53" ht="15.75" customHeight="1" spans="1:26">
      <c r="A53" s="95" t="str">
        <f>dados_01!A53</f>
        <v>28/01/2026 08:13:45</v>
      </c>
      <c r="B53" s="95" t="str">
        <f>dados_01!B53</f>
        <v>5</v>
      </c>
      <c r="C53" s="95" t="str">
        <f>IFERROR(__xludf.DUMMYFUNCTION("JOIN("". "", ARRAYFORMULA(IFERROR(LEFT(SPLIT(dados_01!C53, "" ""), 1))))"),"G. L. C. D. S")</f>
        <v>G. L. C. D. S</v>
      </c>
      <c r="D53" s="95" t="str">
        <f>dados_01!D53</f>
        <v>18/07/2024</v>
      </c>
      <c r="E53" s="95" t="str">
        <f>CONCATENATE(LEFT(dados_01!E53,3),REPT("*",6),RIGHT(dados_01!E53,2))</f>
        <v>003******31</v>
      </c>
      <c r="F53" s="95" t="str">
        <f>dados_01!F53</f>
        <v>INFANTIL 1</v>
      </c>
      <c r="G53" s="95" t="str">
        <f>dados_01!G53</f>
        <v>CEMEI PROFESSORA LINDOMAR DOMINGOS DA SILVA ANJOS</v>
      </c>
      <c r="H53" s="95" t="str">
        <f>dados_01!H53</f>
        <v>REGIONAL 5</v>
      </c>
      <c r="I53" s="95">
        <f>dados_01!I53</f>
        <v>0</v>
      </c>
      <c r="J53" s="95"/>
      <c r="K53" s="95"/>
      <c r="L53" s="95"/>
      <c r="M53" s="95"/>
      <c r="N53" s="95"/>
      <c r="O53" s="95"/>
      <c r="P53" s="95"/>
      <c r="Q53" s="95"/>
      <c r="R53" s="95"/>
      <c r="S53" s="95"/>
      <c r="T53" s="95"/>
      <c r="U53" s="95"/>
      <c r="V53" s="95"/>
      <c r="W53" s="95"/>
      <c r="X53" s="95"/>
      <c r="Y53" s="95"/>
      <c r="Z53" s="95"/>
    </row>
    <row r="54" ht="15.75" customHeight="1" spans="1:26">
      <c r="A54" s="95" t="str">
        <f>dados_01!A54</f>
        <v>28/01/2026 08:25:22</v>
      </c>
      <c r="B54" s="95" t="str">
        <f>dados_01!B54</f>
        <v>6</v>
      </c>
      <c r="C54" s="95" t="str">
        <f>IFERROR(__xludf.DUMMYFUNCTION("JOIN("". "", ARRAYFORMULA(IFERROR(LEFT(SPLIT(dados_01!C54, "" ""), 1))))"),"H. M. B. D. S")</f>
        <v>H. M. B. D. S</v>
      </c>
      <c r="D54" s="95" t="str">
        <f>dados_01!D54</f>
        <v>02/11/2024</v>
      </c>
      <c r="E54" s="95" t="str">
        <f>CONCATENATE(LEFT(dados_01!E54,3),REPT("*",6),RIGHT(dados_01!E54,2))</f>
        <v>004******61</v>
      </c>
      <c r="F54" s="95" t="str">
        <f>dados_01!F54</f>
        <v>INFANTIL 1</v>
      </c>
      <c r="G54" s="95" t="str">
        <f>dados_01!G54</f>
        <v>CEMEI PROFESSORA LINDOMAR DOMINGOS DA SILVA ANJOS</v>
      </c>
      <c r="H54" s="95" t="str">
        <f>dados_01!H54</f>
        <v>REGIONAL 5</v>
      </c>
      <c r="I54" s="95">
        <f>dados_01!I54</f>
        <v>0</v>
      </c>
      <c r="J54" s="95"/>
      <c r="K54" s="95"/>
      <c r="L54" s="95"/>
      <c r="M54" s="95"/>
      <c r="N54" s="95"/>
      <c r="O54" s="95"/>
      <c r="P54" s="95"/>
      <c r="Q54" s="95"/>
      <c r="R54" s="95"/>
      <c r="S54" s="95"/>
      <c r="T54" s="95"/>
      <c r="U54" s="95"/>
      <c r="V54" s="95"/>
      <c r="W54" s="95"/>
      <c r="X54" s="95"/>
      <c r="Y54" s="95"/>
      <c r="Z54" s="95"/>
    </row>
    <row r="55" ht="15.75" customHeight="1" spans="1:26">
      <c r="A55" s="95" t="str">
        <f>dados_01!A55</f>
        <v>28/01/2026 09:18:21</v>
      </c>
      <c r="B55" s="95" t="str">
        <f>dados_01!B55</f>
        <v>7</v>
      </c>
      <c r="C55" s="95" t="str">
        <f>IFERROR(__xludf.DUMMYFUNCTION("JOIN("". "", ARRAYFORMULA(IFERROR(LEFT(SPLIT(dados_01!C55, "" ""), 1))))"),"H. F. M. D. S")</f>
        <v>H. F. M. D. S</v>
      </c>
      <c r="D55" s="95" t="str">
        <f>dados_01!D55</f>
        <v>15/01/2025</v>
      </c>
      <c r="E55" s="95" t="str">
        <f>CONCATENATE(LEFT(dados_01!E55,3),REPT("*",6),RIGHT(dados_01!E55,2))</f>
        <v>005******11</v>
      </c>
      <c r="F55" s="95" t="str">
        <f>dados_01!F55</f>
        <v>INFANTIL 1</v>
      </c>
      <c r="G55" s="95" t="str">
        <f>dados_01!G55</f>
        <v>CEMEI PROFESSORA LINDOMAR DOMINGOS DA SILVA ANJOS</v>
      </c>
      <c r="H55" s="95" t="str">
        <f>dados_01!H55</f>
        <v>REGIONAL 5</v>
      </c>
      <c r="I55" s="95">
        <f>dados_01!I55</f>
        <v>0</v>
      </c>
      <c r="J55" s="95"/>
      <c r="K55" s="95"/>
      <c r="L55" s="95"/>
      <c r="M55" s="95"/>
      <c r="N55" s="95"/>
      <c r="O55" s="95"/>
      <c r="P55" s="95"/>
      <c r="Q55" s="95"/>
      <c r="R55" s="95"/>
      <c r="S55" s="95"/>
      <c r="T55" s="95"/>
      <c r="U55" s="95"/>
      <c r="V55" s="95"/>
      <c r="W55" s="95"/>
      <c r="X55" s="95"/>
      <c r="Y55" s="95"/>
      <c r="Z55" s="95"/>
    </row>
    <row r="56" ht="15.75" customHeight="1" spans="1:26">
      <c r="A56" s="95" t="str">
        <f>dados_01!A56</f>
        <v>28/01/2026 09:33:11</v>
      </c>
      <c r="B56" s="95" t="str">
        <f>dados_01!B56</f>
        <v>8</v>
      </c>
      <c r="C56" s="95" t="str">
        <f>IFERROR(__xludf.DUMMYFUNCTION("JOIN("". "", ARRAYFORMULA(IFERROR(LEFT(SPLIT(dados_01!C56, "" ""), 1))))"),"J. E. D. S")</f>
        <v>J. E. D. S</v>
      </c>
      <c r="D56" s="95" t="str">
        <f>dados_01!D56</f>
        <v>23/06/2024</v>
      </c>
      <c r="E56" s="95" t="str">
        <f>CONCATENATE(LEFT(dados_01!E56,3),REPT("*",6),RIGHT(dados_01!E56,2))</f>
        <v>004******68</v>
      </c>
      <c r="F56" s="95" t="str">
        <f>dados_01!F56</f>
        <v>INFANTIL 1</v>
      </c>
      <c r="G56" s="95" t="str">
        <f>dados_01!G56</f>
        <v>CEMEI PROFESSORA LINDOMAR DOMINGOS DA SILVA ANJOS</v>
      </c>
      <c r="H56" s="95" t="str">
        <f>dados_01!H56</f>
        <v>REGIONAL 5</v>
      </c>
      <c r="I56" s="95">
        <f>dados_01!I56</f>
        <v>0</v>
      </c>
      <c r="J56" s="95"/>
      <c r="K56" s="95"/>
      <c r="L56" s="95"/>
      <c r="M56" s="95"/>
      <c r="N56" s="95"/>
      <c r="O56" s="95"/>
      <c r="P56" s="95"/>
      <c r="Q56" s="95"/>
      <c r="R56" s="95"/>
      <c r="S56" s="95"/>
      <c r="T56" s="95"/>
      <c r="U56" s="95"/>
      <c r="V56" s="95"/>
      <c r="W56" s="95"/>
      <c r="X56" s="95"/>
      <c r="Y56" s="95"/>
      <c r="Z56" s="95"/>
    </row>
    <row r="57" ht="15.75" customHeight="1" spans="1:26">
      <c r="A57" s="95" t="str">
        <f>dados_01!A57</f>
        <v>28/01/2026 09:38:34</v>
      </c>
      <c r="B57" s="95" t="str">
        <f>dados_01!B57</f>
        <v>9</v>
      </c>
      <c r="C57" s="95" t="str">
        <f>IFERROR(__xludf.DUMMYFUNCTION("JOIN("". "", ARRAYFORMULA(IFERROR(LEFT(SPLIT(dados_01!C57, "" ""), 1))))"),"A. G. F. S")</f>
        <v>A. G. F. S</v>
      </c>
      <c r="D57" s="95" t="str">
        <f>dados_01!D57</f>
        <v>31/05/2024</v>
      </c>
      <c r="E57" s="95" t="str">
        <f>CONCATENATE(LEFT(dados_01!E57,3),REPT("*",6),RIGHT(dados_01!E57,2))</f>
        <v>003******24</v>
      </c>
      <c r="F57" s="95" t="str">
        <f>dados_01!F57</f>
        <v>INFANTIL 1</v>
      </c>
      <c r="G57" s="95" t="str">
        <f>dados_01!G57</f>
        <v>CEMEI PROFESSORA LINDOMAR DOMINGOS DA SILVA ANJOS</v>
      </c>
      <c r="H57" s="95" t="str">
        <f>dados_01!H57</f>
        <v>REGIONAL 5</v>
      </c>
      <c r="I57" s="95">
        <f>dados_01!I57</f>
        <v>0</v>
      </c>
      <c r="J57" s="95"/>
      <c r="K57" s="95"/>
      <c r="L57" s="95"/>
      <c r="M57" s="95"/>
      <c r="N57" s="95"/>
      <c r="O57" s="95"/>
      <c r="P57" s="95"/>
      <c r="Q57" s="95"/>
      <c r="R57" s="95"/>
      <c r="S57" s="95"/>
      <c r="T57" s="95"/>
      <c r="U57" s="95"/>
      <c r="V57" s="95"/>
      <c r="W57" s="95"/>
      <c r="X57" s="95"/>
      <c r="Y57" s="95"/>
      <c r="Z57" s="95"/>
    </row>
    <row r="58" ht="15.75" customHeight="1" spans="1:26">
      <c r="A58" s="95" t="str">
        <f>dados_01!A58</f>
        <v>28/01/2026 10:45:36</v>
      </c>
      <c r="B58" s="95" t="str">
        <f>dados_01!B58</f>
        <v>10</v>
      </c>
      <c r="C58" s="95" t="str">
        <f>IFERROR(__xludf.DUMMYFUNCTION("JOIN("". "", ARRAYFORMULA(IFERROR(LEFT(SPLIT(dados_01!C58, "" ""), 1))))"),"T. M. D. S")</f>
        <v>T. M. D. S</v>
      </c>
      <c r="D58" s="95" t="str">
        <f>dados_01!D58</f>
        <v>25/11/2024</v>
      </c>
      <c r="E58" s="95" t="str">
        <f>CONCATENATE(LEFT(dados_01!E58,3),REPT("*",6),RIGHT(dados_01!E58,2))</f>
        <v>004******16</v>
      </c>
      <c r="F58" s="95" t="str">
        <f>dados_01!F58</f>
        <v>INFANTIL 1</v>
      </c>
      <c r="G58" s="95" t="str">
        <f>dados_01!G58</f>
        <v>CEMEI PROFESSORA LINDOMAR DOMINGOS DA SILVA ANJOS</v>
      </c>
      <c r="H58" s="95" t="str">
        <f>dados_01!H58</f>
        <v>REGIONAL 5</v>
      </c>
      <c r="I58" s="95">
        <f>dados_01!I58</f>
        <v>0</v>
      </c>
      <c r="J58" s="95"/>
      <c r="K58" s="95"/>
      <c r="L58" s="95"/>
      <c r="M58" s="95"/>
      <c r="N58" s="95"/>
      <c r="O58" s="95"/>
      <c r="P58" s="95"/>
      <c r="Q58" s="95"/>
      <c r="R58" s="95"/>
      <c r="S58" s="95"/>
      <c r="T58" s="95"/>
      <c r="U58" s="95"/>
      <c r="V58" s="95"/>
      <c r="W58" s="95"/>
      <c r="X58" s="95"/>
      <c r="Y58" s="95"/>
      <c r="Z58" s="95"/>
    </row>
    <row r="59" ht="15.75" customHeight="1" spans="1:26">
      <c r="A59" s="95" t="str">
        <f>dados_01!A59</f>
        <v>28/01/2026 12:49:55</v>
      </c>
      <c r="B59" s="95" t="str">
        <f>dados_01!B59</f>
        <v>11</v>
      </c>
      <c r="C59" s="95" t="str">
        <f>IFERROR(__xludf.DUMMYFUNCTION("JOIN("". "", ARRAYFORMULA(IFERROR(LEFT(SPLIT(dados_01!C59, "" ""), 1))))"),"K. C. F. S. D. S")</f>
        <v>K. C. F. S. D. S</v>
      </c>
      <c r="D59" s="95" t="str">
        <f>dados_01!D59</f>
        <v>10/09/2024</v>
      </c>
      <c r="E59" s="95" t="str">
        <f>CONCATENATE(LEFT(dados_01!E59,3),REPT("*",6),RIGHT(dados_01!E59,2))</f>
        <v>004******30</v>
      </c>
      <c r="F59" s="95" t="str">
        <f>dados_01!F59</f>
        <v>INFANTIL 1</v>
      </c>
      <c r="G59" s="95" t="str">
        <f>dados_01!G59</f>
        <v>CEMEI PROFESSORA LINDOMAR DOMINGOS DA SILVA ANJOS</v>
      </c>
      <c r="H59" s="95" t="str">
        <f>dados_01!H59</f>
        <v>REGIONAL 5</v>
      </c>
      <c r="I59" s="95">
        <f>dados_01!I59</f>
        <v>0</v>
      </c>
      <c r="J59" s="95"/>
      <c r="K59" s="95"/>
      <c r="L59" s="95"/>
      <c r="M59" s="95"/>
      <c r="N59" s="95"/>
      <c r="O59" s="95"/>
      <c r="P59" s="95"/>
      <c r="Q59" s="95"/>
      <c r="R59" s="95"/>
      <c r="S59" s="95"/>
      <c r="T59" s="95"/>
      <c r="U59" s="95"/>
      <c r="V59" s="95"/>
      <c r="W59" s="95"/>
      <c r="X59" s="95"/>
      <c r="Y59" s="95"/>
      <c r="Z59" s="95"/>
    </row>
    <row r="60" ht="15.75" customHeight="1" spans="1:26">
      <c r="A60" s="95" t="str">
        <f>dados_01!A60</f>
        <v>28/01/2026 20:34:21</v>
      </c>
      <c r="B60" s="95" t="str">
        <f>dados_01!B60</f>
        <v>12</v>
      </c>
      <c r="C60" s="95" t="str">
        <f>IFERROR(__xludf.DUMMYFUNCTION("JOIN("". "", ARRAYFORMULA(IFERROR(LEFT(SPLIT(dados_01!C60, "" ""), 1))))"),"L. H. P. D. S")</f>
        <v>L. H. P. D. S</v>
      </c>
      <c r="D60" s="95" t="str">
        <f>dados_01!D60</f>
        <v>01/04/2024</v>
      </c>
      <c r="E60" s="95" t="str">
        <f>CONCATENATE(LEFT(dados_01!E60,3),REPT("*",6),RIGHT(dados_01!E60,2))</f>
        <v>002******69</v>
      </c>
      <c r="F60" s="95" t="str">
        <f>dados_01!F60</f>
        <v>INFANTIL 1</v>
      </c>
      <c r="G60" s="95" t="str">
        <f>dados_01!G60</f>
        <v>CEMEI PROFESSORA LINDOMAR DOMINGOS DA SILVA ANJOS</v>
      </c>
      <c r="H60" s="95" t="str">
        <f>dados_01!H60</f>
        <v>REGIONAL 5</v>
      </c>
      <c r="I60" s="95">
        <f>dados_01!I60</f>
        <v>0</v>
      </c>
      <c r="J60" s="95"/>
      <c r="K60" s="95"/>
      <c r="L60" s="95"/>
      <c r="M60" s="95"/>
      <c r="N60" s="95"/>
      <c r="O60" s="95"/>
      <c r="P60" s="95"/>
      <c r="Q60" s="95"/>
      <c r="R60" s="95"/>
      <c r="S60" s="95"/>
      <c r="T60" s="95"/>
      <c r="U60" s="95"/>
      <c r="V60" s="95"/>
      <c r="W60" s="95"/>
      <c r="X60" s="95"/>
      <c r="Y60" s="95"/>
      <c r="Z60" s="95"/>
    </row>
    <row r="61" ht="15.75" customHeight="1" spans="1:26">
      <c r="A61" s="95" t="str">
        <f>dados_01!A61</f>
        <v>06/02/2026 14:12:06</v>
      </c>
      <c r="B61" s="95" t="str">
        <f>dados_01!B61</f>
        <v>13</v>
      </c>
      <c r="C61" s="95" t="str">
        <f>IFERROR(__xludf.DUMMYFUNCTION("JOIN("". "", ARRAYFORMULA(IFERROR(LEFT(SPLIT(dados_01!C61, "" ""), 1))))"),"V. M. D. S. F")</f>
        <v>V. M. D. S. F</v>
      </c>
      <c r="D61" s="95" t="str">
        <f>dados_01!D61</f>
        <v>16/04/2024</v>
      </c>
      <c r="E61" s="95" t="str">
        <f>CONCATENATE(LEFT(dados_01!E61,3),REPT("*",6),RIGHT(dados_01!E61,2))</f>
        <v>003******09</v>
      </c>
      <c r="F61" s="95" t="str">
        <f>dados_01!F61</f>
        <v>INFANTIL 1</v>
      </c>
      <c r="G61" s="95" t="str">
        <f>dados_01!G61</f>
        <v>CEMEI PROFESSORA LINDOMAR DOMINGOS DA SILVA ANJOS</v>
      </c>
      <c r="H61" s="95" t="str">
        <f>dados_01!H61</f>
        <v>REGIONAL 5</v>
      </c>
      <c r="I61" s="95">
        <f>dados_01!I61</f>
        <v>0</v>
      </c>
      <c r="J61" s="95"/>
      <c r="K61" s="95"/>
      <c r="L61" s="95"/>
      <c r="M61" s="95"/>
      <c r="N61" s="95"/>
      <c r="O61" s="95"/>
      <c r="P61" s="95"/>
      <c r="Q61" s="95"/>
      <c r="R61" s="95"/>
      <c r="S61" s="95"/>
      <c r="T61" s="95"/>
      <c r="U61" s="95"/>
      <c r="V61" s="95"/>
      <c r="W61" s="95"/>
      <c r="X61" s="95"/>
      <c r="Y61" s="95"/>
      <c r="Z61" s="95"/>
    </row>
    <row r="62" ht="15.75" customHeight="1" spans="1:26">
      <c r="A62" s="95" t="str">
        <f>dados_01!A62</f>
        <v>11/02/2026 09:26:12</v>
      </c>
      <c r="B62" s="95" t="str">
        <f>dados_01!B62</f>
        <v>14</v>
      </c>
      <c r="C62" s="95" t="str">
        <f>IFERROR(__xludf.DUMMYFUNCTION("JOIN("". "", ARRAYFORMULA(IFERROR(LEFT(SPLIT(dados_01!C62, "" ""), 1))))"),"K. I. D. S. S")</f>
        <v>K. I. D. S. S</v>
      </c>
      <c r="D62" s="95" t="str">
        <f>dados_01!D62</f>
        <v>13/09/2024</v>
      </c>
      <c r="E62" s="95" t="str">
        <f>CONCATENATE(LEFT(dados_01!E62,3),REPT("*",6),RIGHT(dados_01!E62,2))</f>
        <v>004******62</v>
      </c>
      <c r="F62" s="95" t="str">
        <f>dados_01!F62</f>
        <v>INFANTIL 1</v>
      </c>
      <c r="G62" s="95" t="str">
        <f>dados_01!G62</f>
        <v>CEMEI PROFESSORA LINDOMAR DOMINGOS DA SILVA ANJOS</v>
      </c>
      <c r="H62" s="95" t="str">
        <f>dados_01!H62</f>
        <v>REGIONAL 5</v>
      </c>
      <c r="I62" s="95">
        <f>dados_01!I62</f>
        <v>0</v>
      </c>
      <c r="J62" s="95"/>
      <c r="K62" s="95"/>
      <c r="L62" s="95"/>
      <c r="M62" s="95"/>
      <c r="N62" s="95"/>
      <c r="O62" s="95"/>
      <c r="P62" s="95"/>
      <c r="Q62" s="95"/>
      <c r="R62" s="95"/>
      <c r="S62" s="95"/>
      <c r="T62" s="95"/>
      <c r="U62" s="95"/>
      <c r="V62" s="95"/>
      <c r="W62" s="95"/>
      <c r="X62" s="95"/>
      <c r="Y62" s="95"/>
      <c r="Z62" s="95"/>
    </row>
    <row r="63" ht="15.75" customHeight="1" spans="1:26">
      <c r="A63" s="95" t="str">
        <f>dados_01!A63</f>
        <v>26/02/2026 23:54:06</v>
      </c>
      <c r="B63" s="95" t="str">
        <f>dados_01!B63</f>
        <v>15</v>
      </c>
      <c r="C63" s="95" t="str">
        <f>IFERROR(__xludf.DUMMYFUNCTION("JOIN("". "", ARRAYFORMULA(IFERROR(LEFT(SPLIT(dados_01!C63, "" ""), 1))))"),"A. M. D. S. R")</f>
        <v>A. M. D. S. R</v>
      </c>
      <c r="D63" s="95" t="str">
        <f>dados_01!D63</f>
        <v>21/01/2025</v>
      </c>
      <c r="E63" s="95" t="str">
        <f>CONCATENATE(LEFT(dados_01!E63,3),REPT("*",6),RIGHT(dados_01!E63,2))</f>
        <v>005******50</v>
      </c>
      <c r="F63" s="95" t="str">
        <f>dados_01!F63</f>
        <v>INFANTIL 1</v>
      </c>
      <c r="G63" s="95" t="str">
        <f>dados_01!G63</f>
        <v>CEMEI PROFESSORA LINDOMAR DOMINGOS DA SILVA ANJOS</v>
      </c>
      <c r="H63" s="95" t="str">
        <f>dados_01!H63</f>
        <v>REGIONAL 5</v>
      </c>
      <c r="I63" s="95">
        <f>dados_01!I63</f>
        <v>0</v>
      </c>
      <c r="J63" s="95"/>
      <c r="K63" s="95"/>
      <c r="L63" s="95"/>
      <c r="M63" s="95"/>
      <c r="N63" s="95"/>
      <c r="O63" s="95"/>
      <c r="P63" s="95"/>
      <c r="Q63" s="95"/>
      <c r="R63" s="95"/>
      <c r="S63" s="95"/>
      <c r="T63" s="95"/>
      <c r="U63" s="95"/>
      <c r="V63" s="95"/>
      <c r="W63" s="95"/>
      <c r="X63" s="95"/>
      <c r="Y63" s="95"/>
      <c r="Z63" s="95"/>
    </row>
    <row r="64" ht="15.75" customHeight="1" spans="1:26">
      <c r="A64" s="95" t="str">
        <f>dados_01!A64</f>
        <v>03/03/2026 13:59:55</v>
      </c>
      <c r="B64" s="95" t="str">
        <f>dados_01!B64</f>
        <v>16</v>
      </c>
      <c r="C64" s="95" t="str">
        <f>IFERROR(__xludf.DUMMYFUNCTION("JOIN("". "", ARRAYFORMULA(IFERROR(LEFT(SPLIT(dados_01!C64, "" ""), 1))))"),"G. A. D. D. M")</f>
        <v>G. A. D. D. M</v>
      </c>
      <c r="D64" s="95" t="str">
        <f>dados_01!D64</f>
        <v>05/04/2025</v>
      </c>
      <c r="E64" s="95" t="str">
        <f>CONCATENATE(LEFT(dados_01!E64,3),REPT("*",6),RIGHT(dados_01!E64,2))</f>
        <v>005******94</v>
      </c>
      <c r="F64" s="95" t="str">
        <f>dados_01!F64</f>
        <v>INFANTIL 1</v>
      </c>
      <c r="G64" s="95" t="str">
        <f>dados_01!G64</f>
        <v>CEMEI PROFESSORA LINDOMAR DOMINGOS DA SILVA ANJOS</v>
      </c>
      <c r="H64" s="95" t="str">
        <f>dados_01!H64</f>
        <v>REGIONAL 5</v>
      </c>
      <c r="I64" s="95">
        <f>dados_01!I64</f>
        <v>0</v>
      </c>
      <c r="J64" s="95"/>
      <c r="K64" s="95"/>
      <c r="L64" s="95"/>
      <c r="M64" s="95"/>
      <c r="N64" s="95"/>
      <c r="O64" s="95"/>
      <c r="P64" s="95"/>
      <c r="Q64" s="95"/>
      <c r="R64" s="95"/>
      <c r="S64" s="95"/>
      <c r="T64" s="95"/>
      <c r="U64" s="95"/>
      <c r="V64" s="95"/>
      <c r="W64" s="95"/>
      <c r="X64" s="95"/>
      <c r="Y64" s="95"/>
      <c r="Z64" s="95"/>
    </row>
    <row r="65" ht="15.75" customHeight="1" spans="1:26">
      <c r="A65" s="95" t="str">
        <f>dados_01!A65</f>
        <v>04/03/2026 10:32:01</v>
      </c>
      <c r="B65" s="95" t="str">
        <f>dados_01!B65</f>
        <v>17</v>
      </c>
      <c r="C65" s="95" t="str">
        <f>IFERROR(__xludf.DUMMYFUNCTION("JOIN("". "", ARRAYFORMULA(IFERROR(LEFT(SPLIT(dados_01!C65, "" ""), 1))))"),"N. D. M. D. S")</f>
        <v>N. D. M. D. S</v>
      </c>
      <c r="D65" s="95" t="str">
        <f>dados_01!D65</f>
        <v>21/05/2025</v>
      </c>
      <c r="E65" s="95" t="str">
        <f>CONCATENATE(LEFT(dados_01!E65,3),REPT("*",6),RIGHT(dados_01!E65,2))</f>
        <v>006******45</v>
      </c>
      <c r="F65" s="95" t="str">
        <f>dados_01!F65</f>
        <v>INFANTIL 1</v>
      </c>
      <c r="G65" s="95" t="str">
        <f>dados_01!G65</f>
        <v>CEMEI PROFESSORA LINDOMAR DOMINGOS DA SILVA ANJOS</v>
      </c>
      <c r="H65" s="95" t="str">
        <f>dados_01!H65</f>
        <v>REGIONAL 5</v>
      </c>
      <c r="I65" s="95">
        <f>dados_01!I65</f>
        <v>0</v>
      </c>
      <c r="J65" s="95"/>
      <c r="K65" s="95"/>
      <c r="L65" s="95"/>
      <c r="M65" s="95"/>
      <c r="N65" s="95"/>
      <c r="O65" s="95"/>
      <c r="P65" s="95"/>
      <c r="Q65" s="95"/>
      <c r="R65" s="95"/>
      <c r="S65" s="95"/>
      <c r="T65" s="95"/>
      <c r="U65" s="95"/>
      <c r="V65" s="95"/>
      <c r="W65" s="95"/>
      <c r="X65" s="95"/>
      <c r="Y65" s="95"/>
      <c r="Z65" s="95"/>
    </row>
    <row r="66" ht="15.75" customHeight="1" spans="1:26">
      <c r="A66" s="95" t="str">
        <f>dados_01!A66</f>
        <v>23/03/2026 12:35:29</v>
      </c>
      <c r="B66" s="95" t="str">
        <f>dados_01!B66</f>
        <v>18</v>
      </c>
      <c r="C66" s="95" t="str">
        <f>IFERROR(__xludf.DUMMYFUNCTION("JOIN("". "", ARRAYFORMULA(IFERROR(LEFT(SPLIT(dados_01!C66, "" ""), 1))))"),"R. G. D. R. P")</f>
        <v>R. G. D. R. P</v>
      </c>
      <c r="D66" s="95" t="str">
        <f>dados_01!D66</f>
        <v>07/11/2025</v>
      </c>
      <c r="E66" s="95" t="str">
        <f>CONCATENATE(LEFT(dados_01!E66,3),REPT("*",6),RIGHT(dados_01!E66,2))</f>
        <v>022******15</v>
      </c>
      <c r="F66" s="95" t="str">
        <f>dados_01!F66</f>
        <v>INFANTIL 1</v>
      </c>
      <c r="G66" s="95" t="str">
        <f>dados_01!G66</f>
        <v>CEMEI PROFESSORA LINDOMAR DOMINGOS DA SILVA ANJOS</v>
      </c>
      <c r="H66" s="95" t="str">
        <f>dados_01!H66</f>
        <v>REGIONAL 5</v>
      </c>
      <c r="I66" s="95">
        <f>dados_01!I66</f>
        <v>0</v>
      </c>
      <c r="J66" s="95"/>
      <c r="K66" s="95"/>
      <c r="L66" s="95"/>
      <c r="M66" s="95"/>
      <c r="N66" s="95"/>
      <c r="O66" s="95"/>
      <c r="P66" s="95"/>
      <c r="Q66" s="95"/>
      <c r="R66" s="95"/>
      <c r="S66" s="95"/>
      <c r="T66" s="95"/>
      <c r="U66" s="95"/>
      <c r="V66" s="95"/>
      <c r="W66" s="95"/>
      <c r="X66" s="95"/>
      <c r="Y66" s="95"/>
      <c r="Z66" s="95"/>
    </row>
    <row r="67" ht="15.75" customHeight="1" spans="1:26">
      <c r="A67" s="95" t="str">
        <f>dados_01!A67</f>
        <v>30/03/2026 09:26:51</v>
      </c>
      <c r="B67" s="95" t="str">
        <f>dados_01!B67</f>
        <v>19</v>
      </c>
      <c r="C67" s="95" t="str">
        <f>IFERROR(__xludf.DUMMYFUNCTION("JOIN("". "", ARRAYFORMULA(IFERROR(LEFT(SPLIT(dados_01!C67, "" ""), 1))))"),"F. C. M")</f>
        <v>F. C. M</v>
      </c>
      <c r="D67" s="95" t="str">
        <f>dados_01!D67</f>
        <v>26/11/2025</v>
      </c>
      <c r="E67" s="95" t="str">
        <f>CONCATENATE(LEFT(dados_01!E67,3),REPT("*",6),RIGHT(dados_01!E67,2))</f>
        <v>027******72</v>
      </c>
      <c r="F67" s="95" t="str">
        <f>dados_01!F67</f>
        <v>INFANTIL 1</v>
      </c>
      <c r="G67" s="95" t="str">
        <f>dados_01!G67</f>
        <v>CEMEI PROFESSORA LINDOMAR DOMINGOS DA SILVA ANJOS</v>
      </c>
      <c r="H67" s="95" t="str">
        <f>dados_01!H67</f>
        <v>REGIONAL 5</v>
      </c>
      <c r="I67" s="95">
        <f>dados_01!I67</f>
        <v>0</v>
      </c>
      <c r="J67" s="95"/>
      <c r="K67" s="95"/>
      <c r="L67" s="95"/>
      <c r="M67" s="95"/>
      <c r="N67" s="95"/>
      <c r="O67" s="95"/>
      <c r="P67" s="95"/>
      <c r="Q67" s="95"/>
      <c r="R67" s="95"/>
      <c r="S67" s="95"/>
      <c r="T67" s="95"/>
      <c r="U67" s="95"/>
      <c r="V67" s="95"/>
      <c r="W67" s="95"/>
      <c r="X67" s="95"/>
      <c r="Y67" s="95"/>
      <c r="Z67" s="95"/>
    </row>
    <row r="68" ht="15.75" customHeight="1" spans="1:26">
      <c r="A68" s="95" t="str">
        <f>dados_01!A68</f>
        <v>01/04/2026 11:07:18</v>
      </c>
      <c r="B68" s="95" t="str">
        <f>dados_01!B68</f>
        <v>20</v>
      </c>
      <c r="C68" s="95" t="str">
        <f>IFERROR(__xludf.DUMMYFUNCTION("JOIN("". "", ARRAYFORMULA(IFERROR(LEFT(SPLIT(dados_01!C68, "" ""), 1))))"),"M. I. S. S")</f>
        <v>M. I. S. S</v>
      </c>
      <c r="D68" s="95" t="str">
        <f>dados_01!D68</f>
        <v>03/09/2024</v>
      </c>
      <c r="E68" s="95" t="str">
        <f>CONCATENATE(LEFT(dados_01!E68,3),REPT("*",6),RIGHT(dados_01!E68,2))</f>
        <v>054******71</v>
      </c>
      <c r="F68" s="95" t="str">
        <f>dados_01!F68</f>
        <v>INFANTIL 1</v>
      </c>
      <c r="G68" s="95" t="str">
        <f>dados_01!G68</f>
        <v>CEMEI PROFESSORA LINDOMAR DOMINGOS DA SILVA ANJOS</v>
      </c>
      <c r="H68" s="95" t="str">
        <f>dados_01!H68</f>
        <v>REGIONAL 5</v>
      </c>
      <c r="I68" s="95">
        <f>dados_01!I68</f>
        <v>0</v>
      </c>
      <c r="J68" s="95"/>
      <c r="K68" s="95"/>
      <c r="L68" s="95"/>
      <c r="M68" s="95"/>
      <c r="N68" s="95"/>
      <c r="O68" s="95"/>
      <c r="P68" s="95"/>
      <c r="Q68" s="95"/>
      <c r="R68" s="95"/>
      <c r="S68" s="95"/>
      <c r="T68" s="95"/>
      <c r="U68" s="95"/>
      <c r="V68" s="95"/>
      <c r="W68" s="95"/>
      <c r="X68" s="95"/>
      <c r="Y68" s="95"/>
      <c r="Z68" s="95"/>
    </row>
    <row r="69" ht="15.75" customHeight="1" spans="1:26">
      <c r="A69" s="95" t="str">
        <f>dados_01!A69</f>
        <v>08/04/2026 16:32:34</v>
      </c>
      <c r="B69" s="95" t="str">
        <f>dados_01!B69</f>
        <v>21</v>
      </c>
      <c r="C69" s="95" t="str">
        <f>IFERROR(__xludf.DUMMYFUNCTION("JOIN("". "", ARRAYFORMULA(IFERROR(LEFT(SPLIT(dados_01!C69, "" ""), 1))))"),"M. B. M. A")</f>
        <v>M. B. M. A</v>
      </c>
      <c r="D69" s="95" t="str">
        <f>dados_01!D69</f>
        <v>01/04/2025</v>
      </c>
      <c r="E69" s="95" t="str">
        <f>CONCATENATE(LEFT(dados_01!E69,3),REPT("*",6),RIGHT(dados_01!E69,2))</f>
        <v>005******85</v>
      </c>
      <c r="F69" s="95" t="str">
        <f>dados_01!F69</f>
        <v>INFANTIL 1</v>
      </c>
      <c r="G69" s="95" t="str">
        <f>dados_01!G69</f>
        <v>CEMEI PROFESSORA LINDOMAR DOMINGOS DA SILVA ANJOS</v>
      </c>
      <c r="H69" s="95" t="str">
        <f>dados_01!H69</f>
        <v>REGIONAL 5</v>
      </c>
      <c r="I69" s="95">
        <f>dados_01!I69</f>
        <v>0</v>
      </c>
      <c r="J69" s="95"/>
      <c r="K69" s="95"/>
      <c r="L69" s="95"/>
      <c r="M69" s="95"/>
      <c r="N69" s="95"/>
      <c r="O69" s="95"/>
      <c r="P69" s="95"/>
      <c r="Q69" s="95"/>
      <c r="R69" s="95"/>
      <c r="S69" s="95"/>
      <c r="T69" s="95"/>
      <c r="U69" s="95"/>
      <c r="V69" s="95"/>
      <c r="W69" s="95"/>
      <c r="X69" s="95"/>
      <c r="Y69" s="95"/>
      <c r="Z69" s="95"/>
    </row>
    <row r="70" ht="15.75" customHeight="1" spans="1:26">
      <c r="A70" s="95" t="str">
        <f>dados_01!A70</f>
        <v>15/04/2026 13:07:53</v>
      </c>
      <c r="B70" s="95" t="str">
        <f>dados_01!B70</f>
        <v>22</v>
      </c>
      <c r="C70" s="95" t="str">
        <f>IFERROR(__xludf.DUMMYFUNCTION("JOIN("". "", ARRAYFORMULA(IFERROR(LEFT(SPLIT(dados_01!C70, "" ""), 1))))"),"H. R. M")</f>
        <v>H. R. M</v>
      </c>
      <c r="D70" s="95" t="str">
        <f>dados_01!D70</f>
        <v>30/08/2025</v>
      </c>
      <c r="E70" s="95" t="str">
        <f>CONCATENATE(LEFT(dados_01!E70,3),REPT("*",6),RIGHT(dados_01!E70,2))</f>
        <v>007******44</v>
      </c>
      <c r="F70" s="95" t="str">
        <f>dados_01!F70</f>
        <v>INFANTIL 1</v>
      </c>
      <c r="G70" s="95" t="str">
        <f>dados_01!G70</f>
        <v>CEMEI PROFESSORA LINDOMAR DOMINGOS DA SILVA ANJOS</v>
      </c>
      <c r="H70" s="95" t="str">
        <f>dados_01!H70</f>
        <v>REGIONAL 5</v>
      </c>
      <c r="I70" s="95">
        <f>dados_01!I70</f>
        <v>0</v>
      </c>
      <c r="J70" s="95"/>
      <c r="K70" s="95"/>
      <c r="L70" s="95"/>
      <c r="M70" s="95"/>
      <c r="N70" s="95"/>
      <c r="O70" s="95"/>
      <c r="P70" s="95"/>
      <c r="Q70" s="95"/>
      <c r="R70" s="95"/>
      <c r="S70" s="95"/>
      <c r="T70" s="95"/>
      <c r="U70" s="95"/>
      <c r="V70" s="95"/>
      <c r="W70" s="95"/>
      <c r="X70" s="95"/>
      <c r="Y70" s="95"/>
      <c r="Z70" s="95"/>
    </row>
    <row r="71" ht="15.75" customHeight="1" spans="1:26">
      <c r="A71" s="95" t="str">
        <f>dados_01!A71</f>
        <v>04/05/2026 10:11:49</v>
      </c>
      <c r="B71" s="95" t="str">
        <f>dados_01!B71</f>
        <v>23</v>
      </c>
      <c r="C71" s="95" t="str">
        <f>IFERROR(__xludf.DUMMYFUNCTION("JOIN("". "", ARRAYFORMULA(IFERROR(LEFT(SPLIT(dados_01!C71, "" ""), 1))))"),"M. A. D. A. E")</f>
        <v>M. A. D. A. E</v>
      </c>
      <c r="D71" s="95" t="str">
        <f>dados_01!D71</f>
        <v>11/03/2025</v>
      </c>
      <c r="E71" s="95" t="str">
        <f>CONCATENATE(LEFT(dados_01!E71,3),REPT("*",6),RIGHT(dados_01!E71,2))</f>
        <v>005******59</v>
      </c>
      <c r="F71" s="95" t="str">
        <f>dados_01!F71</f>
        <v>INFANTIL 1</v>
      </c>
      <c r="G71" s="95" t="str">
        <f>dados_01!G71</f>
        <v>CEMEI PROFESSORA LINDOMAR DOMINGOS DA SILVA ANJOS</v>
      </c>
      <c r="H71" s="95" t="str">
        <f>dados_01!H71</f>
        <v>REGIONAL 5</v>
      </c>
      <c r="I71" s="95">
        <f>dados_01!I71</f>
        <v>0</v>
      </c>
      <c r="J71" s="95"/>
      <c r="K71" s="95"/>
      <c r="L71" s="95"/>
      <c r="M71" s="95"/>
      <c r="N71" s="95"/>
      <c r="O71" s="95"/>
      <c r="P71" s="95"/>
      <c r="Q71" s="95"/>
      <c r="R71" s="95"/>
      <c r="S71" s="95"/>
      <c r="T71" s="95"/>
      <c r="U71" s="95"/>
      <c r="V71" s="95"/>
      <c r="W71" s="95"/>
      <c r="X71" s="95"/>
      <c r="Y71" s="95"/>
      <c r="Z71" s="95"/>
    </row>
    <row r="72" ht="15.75" customHeight="1" spans="1:26">
      <c r="A72" s="95" t="str">
        <f>dados_01!A72</f>
        <v>15/05/2026 11:54:29</v>
      </c>
      <c r="B72" s="95" t="str">
        <f>dados_01!B72</f>
        <v>24</v>
      </c>
      <c r="C72" s="95" t="str">
        <f>IFERROR(__xludf.DUMMYFUNCTION("JOIN("". "", ARRAYFORMULA(IFERROR(LEFT(SPLIT(dados_01!C72, "" ""), 1))))"),"A. M. S. D. S")</f>
        <v>A. M. S. D. S</v>
      </c>
      <c r="D72" s="95" t="str">
        <f>dados_01!D72</f>
        <v>10/09/2024</v>
      </c>
      <c r="E72" s="95" t="str">
        <f>CONCATENATE(LEFT(dados_01!E72,3),REPT("*",6),RIGHT(dados_01!E72,2))</f>
        <v>004******58</v>
      </c>
      <c r="F72" s="95" t="str">
        <f>dados_01!F72</f>
        <v>INFANTIL 1</v>
      </c>
      <c r="G72" s="95" t="str">
        <f>dados_01!G72</f>
        <v>CEMEI PROFESSORA LINDOMAR DOMINGOS DA SILVA ANJOS</v>
      </c>
      <c r="H72" s="95" t="str">
        <f>dados_01!H72</f>
        <v>REGIONAL 5</v>
      </c>
      <c r="I72" s="95">
        <f>dados_01!I72</f>
        <v>0</v>
      </c>
      <c r="J72" s="95"/>
      <c r="K72" s="95"/>
      <c r="L72" s="95"/>
      <c r="M72" s="95"/>
      <c r="N72" s="95"/>
      <c r="O72" s="95"/>
      <c r="P72" s="95"/>
      <c r="Q72" s="95"/>
      <c r="R72" s="95"/>
      <c r="S72" s="95"/>
      <c r="T72" s="95"/>
      <c r="U72" s="95"/>
      <c r="V72" s="95"/>
      <c r="W72" s="95"/>
      <c r="X72" s="95"/>
      <c r="Y72" s="95"/>
      <c r="Z72" s="95"/>
    </row>
    <row r="73" ht="15.75" customHeight="1" spans="1:26">
      <c r="A73" s="95" t="str">
        <f>dados_01!A73</f>
        <v>15/05/2026 12:03:27</v>
      </c>
      <c r="B73" s="95" t="str">
        <f>dados_01!B73</f>
        <v>25</v>
      </c>
      <c r="C73" s="95" t="str">
        <f>IFERROR(__xludf.DUMMYFUNCTION("JOIN("". "", ARRAYFORMULA(IFERROR(LEFT(SPLIT(dados_01!C73, "" ""), 1))))"),"A. K. S. D. S")</f>
        <v>A. K. S. D. S</v>
      </c>
      <c r="D73" s="95" t="str">
        <f>dados_01!D73</f>
        <v>10/09/2024</v>
      </c>
      <c r="E73" s="95" t="str">
        <f>CONCATENATE(LEFT(dados_01!E73,3),REPT("*",6),RIGHT(dados_01!E73,2))</f>
        <v>004******02</v>
      </c>
      <c r="F73" s="95" t="str">
        <f>dados_01!F73</f>
        <v>INFANTIL 1</v>
      </c>
      <c r="G73" s="95" t="str">
        <f>dados_01!G73</f>
        <v>CEMEI PROFESSORA LINDOMAR DOMINGOS DA SILVA ANJOS</v>
      </c>
      <c r="H73" s="95" t="str">
        <f>dados_01!H73</f>
        <v>REGIONAL 5</v>
      </c>
      <c r="I73" s="95">
        <f>dados_01!I73</f>
        <v>0</v>
      </c>
      <c r="J73" s="95"/>
      <c r="K73" s="95"/>
      <c r="L73" s="95"/>
      <c r="M73" s="95"/>
      <c r="N73" s="95"/>
      <c r="O73" s="95"/>
      <c r="P73" s="95"/>
      <c r="Q73" s="95"/>
      <c r="R73" s="95"/>
      <c r="S73" s="95"/>
      <c r="T73" s="95"/>
      <c r="U73" s="95"/>
      <c r="V73" s="95"/>
      <c r="W73" s="95"/>
      <c r="X73" s="95"/>
      <c r="Y73" s="95"/>
      <c r="Z73" s="95"/>
    </row>
    <row r="74" ht="15.75" customHeight="1" spans="1:26">
      <c r="A74" s="95" t="str">
        <f>dados_01!A74</f>
        <v>30/05/2026 11:24:31</v>
      </c>
      <c r="B74" s="95" t="str">
        <f>dados_01!B74</f>
        <v>26</v>
      </c>
      <c r="C74" s="95" t="str">
        <f>IFERROR(__xludf.DUMMYFUNCTION("JOIN("". "", ARRAYFORMULA(IFERROR(LEFT(SPLIT(dados_01!C74, "" ""), 1))))"),"N. R. F. d. S")</f>
        <v>N. R. F. d. S</v>
      </c>
      <c r="D74" s="95" t="str">
        <f>dados_01!D74</f>
        <v>10/10/2024</v>
      </c>
      <c r="E74" s="95" t="str">
        <f>CONCATENATE(LEFT(dados_01!E74,3),REPT("*",6),RIGHT(dados_01!E74,2))</f>
        <v>004******85</v>
      </c>
      <c r="F74" s="95" t="str">
        <f>dados_01!F74</f>
        <v>INFANTIL 1</v>
      </c>
      <c r="G74" s="95" t="str">
        <f>dados_01!G74</f>
        <v>CEMEI PROFESSORA LINDOMAR DOMINGOS DA SILVA ANJOS</v>
      </c>
      <c r="H74" s="95" t="str">
        <f>dados_01!H74</f>
        <v>REGIONAL 5</v>
      </c>
      <c r="I74" s="95">
        <f>dados_01!I74</f>
        <v>0</v>
      </c>
      <c r="J74" s="95"/>
      <c r="K74" s="95"/>
      <c r="L74" s="95"/>
      <c r="M74" s="95"/>
      <c r="N74" s="95"/>
      <c r="O74" s="95"/>
      <c r="P74" s="95"/>
      <c r="Q74" s="95"/>
      <c r="R74" s="95"/>
      <c r="S74" s="95"/>
      <c r="T74" s="95"/>
      <c r="U74" s="95"/>
      <c r="V74" s="95"/>
      <c r="W74" s="95"/>
      <c r="X74" s="95"/>
      <c r="Y74" s="95"/>
      <c r="Z74" s="95"/>
    </row>
    <row r="75" ht="15.75" customHeight="1" spans="1:26">
      <c r="A75" s="95" t="str">
        <f>dados_01!A75</f>
        <v>28/01/2026 08:06:54</v>
      </c>
      <c r="B75" s="95" t="str">
        <f>dados_01!B75</f>
        <v>1</v>
      </c>
      <c r="C75" s="95" t="str">
        <f>IFERROR(__xludf.DUMMYFUNCTION("JOIN("". "", ARRAYFORMULA(IFERROR(LEFT(SPLIT(dados_01!C75, "" ""), 1))))"),"A. M. F. L")</f>
        <v>A. M. F. L</v>
      </c>
      <c r="D75" s="95" t="str">
        <f>dados_01!D75</f>
        <v>06/04/2023</v>
      </c>
      <c r="E75" s="95" t="str">
        <f>CONCATENATE(LEFT(dados_01!E75,3),REPT("*",6),RIGHT(dados_01!E75,2))</f>
        <v>185******07</v>
      </c>
      <c r="F75" s="95" t="str">
        <f>dados_01!F75</f>
        <v>INFANTIL 2</v>
      </c>
      <c r="G75" s="95" t="str">
        <f>dados_01!G75</f>
        <v>CEMEI PROFESSORA LINDOMAR DOMINGOS DA SILVA ANJOS</v>
      </c>
      <c r="H75" s="95" t="str">
        <f>dados_01!H75</f>
        <v>REGIONAL 5</v>
      </c>
      <c r="I75" s="95">
        <f>dados_01!I75</f>
        <v>0</v>
      </c>
      <c r="J75" s="95"/>
      <c r="K75" s="95"/>
      <c r="L75" s="95"/>
      <c r="M75" s="95"/>
      <c r="N75" s="95"/>
      <c r="O75" s="95"/>
      <c r="P75" s="95"/>
      <c r="Q75" s="95"/>
      <c r="R75" s="95"/>
      <c r="S75" s="95"/>
      <c r="T75" s="95"/>
      <c r="U75" s="95"/>
      <c r="V75" s="95"/>
      <c r="W75" s="95"/>
      <c r="X75" s="95"/>
      <c r="Y75" s="95"/>
      <c r="Z75" s="95"/>
    </row>
    <row r="76" ht="15.75" customHeight="1" spans="1:26">
      <c r="A76" s="95" t="str">
        <f>dados_01!A76</f>
        <v>28/01/2026 08:08:24</v>
      </c>
      <c r="B76" s="95" t="str">
        <f>dados_01!B76</f>
        <v>2</v>
      </c>
      <c r="C76" s="95" t="str">
        <f>IFERROR(__xludf.DUMMYFUNCTION("JOIN("". "", ARRAYFORMULA(IFERROR(LEFT(SPLIT(dados_01!C76, "" ""), 1))))"),"M. O. F. C")</f>
        <v>M. O. F. C</v>
      </c>
      <c r="D76" s="95" t="str">
        <f>dados_01!D76</f>
        <v>23/07/2023</v>
      </c>
      <c r="E76" s="95" t="str">
        <f>CONCATENATE(LEFT(dados_01!E76,3),REPT("*",6),RIGHT(dados_01!E76,2))</f>
        <v>186******04</v>
      </c>
      <c r="F76" s="95" t="str">
        <f>dados_01!F76</f>
        <v>INFANTIL 2</v>
      </c>
      <c r="G76" s="95" t="str">
        <f>dados_01!G76</f>
        <v>CEMEI PROFESSORA LINDOMAR DOMINGOS DA SILVA ANJOS</v>
      </c>
      <c r="H76" s="95" t="str">
        <f>dados_01!H76</f>
        <v>REGIONAL 5</v>
      </c>
      <c r="I76" s="95">
        <f>dados_01!I76</f>
        <v>0</v>
      </c>
      <c r="J76" s="95"/>
      <c r="K76" s="95"/>
      <c r="L76" s="95"/>
      <c r="M76" s="95"/>
      <c r="N76" s="95"/>
      <c r="O76" s="95"/>
      <c r="P76" s="95"/>
      <c r="Q76" s="95"/>
      <c r="R76" s="95"/>
      <c r="S76" s="95"/>
      <c r="T76" s="95"/>
      <c r="U76" s="95"/>
      <c r="V76" s="95"/>
      <c r="W76" s="95"/>
      <c r="X76" s="95"/>
      <c r="Y76" s="95"/>
      <c r="Z76" s="95"/>
    </row>
    <row r="77" ht="15.75" customHeight="1" spans="1:26">
      <c r="A77" s="95" t="str">
        <f>dados_01!A77</f>
        <v>28/01/2026 08:14:44</v>
      </c>
      <c r="B77" s="95" t="str">
        <f>dados_01!B77</f>
        <v>3</v>
      </c>
      <c r="C77" s="95" t="str">
        <f>IFERROR(__xludf.DUMMYFUNCTION("JOIN("". "", ARRAYFORMULA(IFERROR(LEFT(SPLIT(dados_01!C77, "" ""), 1))))"),"S. B. C. R. D. S")</f>
        <v>S. B. C. R. D. S</v>
      </c>
      <c r="D77" s="95" t="str">
        <f>dados_01!D77</f>
        <v>07/06/2023</v>
      </c>
      <c r="E77" s="95" t="str">
        <f>CONCATENATE(LEFT(dados_01!E77,3),REPT("*",6),RIGHT(dados_01!E77,2))</f>
        <v>185******06</v>
      </c>
      <c r="F77" s="95" t="str">
        <f>dados_01!F77</f>
        <v>INFANTIL 2</v>
      </c>
      <c r="G77" s="95" t="str">
        <f>dados_01!G77</f>
        <v>CEMEI PROFESSORA LINDOMAR DOMINGOS DA SILVA ANJOS</v>
      </c>
      <c r="H77" s="95" t="str">
        <f>dados_01!H77</f>
        <v>REGIONAL 5</v>
      </c>
      <c r="I77" s="95">
        <f>dados_01!I77</f>
        <v>0</v>
      </c>
      <c r="J77" s="95"/>
      <c r="K77" s="95"/>
      <c r="L77" s="95"/>
      <c r="M77" s="95"/>
      <c r="N77" s="95"/>
      <c r="O77" s="95"/>
      <c r="P77" s="95"/>
      <c r="Q77" s="95"/>
      <c r="R77" s="95"/>
      <c r="S77" s="95"/>
      <c r="T77" s="95"/>
      <c r="U77" s="95"/>
      <c r="V77" s="95"/>
      <c r="W77" s="95"/>
      <c r="X77" s="95"/>
      <c r="Y77" s="95"/>
      <c r="Z77" s="95"/>
    </row>
    <row r="78" ht="15.75" customHeight="1" spans="1:26">
      <c r="A78" s="95" t="str">
        <f>dados_01!A78</f>
        <v>28/01/2026 08:17:19</v>
      </c>
      <c r="B78" s="95" t="str">
        <f>dados_01!B78</f>
        <v>4</v>
      </c>
      <c r="C78" s="95" t="str">
        <f>IFERROR(__xludf.DUMMYFUNCTION("JOIN("". "", ARRAYFORMULA(IFERROR(LEFT(SPLIT(dados_01!C78, "" ""), 1))))"),"L. M. T. S")</f>
        <v>L. M. T. S</v>
      </c>
      <c r="D78" s="95" t="str">
        <f>dados_01!D78</f>
        <v>18/02/2024</v>
      </c>
      <c r="E78" s="95" t="str">
        <f>CONCATENATE(LEFT(dados_01!E78,3),REPT("*",6),RIGHT(dados_01!E78,2))</f>
        <v>002******11</v>
      </c>
      <c r="F78" s="95" t="str">
        <f>dados_01!F78</f>
        <v>INFANTIL 2</v>
      </c>
      <c r="G78" s="95" t="str">
        <f>dados_01!G78</f>
        <v>CEMEI PROFESSORA LINDOMAR DOMINGOS DA SILVA ANJOS</v>
      </c>
      <c r="H78" s="95" t="str">
        <f>dados_01!H78</f>
        <v>REGIONAL 5</v>
      </c>
      <c r="I78" s="95">
        <f>dados_01!I78</f>
        <v>0</v>
      </c>
      <c r="J78" s="95"/>
      <c r="K78" s="95"/>
      <c r="L78" s="95"/>
      <c r="M78" s="95"/>
      <c r="N78" s="95"/>
      <c r="O78" s="95"/>
      <c r="P78" s="95"/>
      <c r="Q78" s="95"/>
      <c r="R78" s="95"/>
      <c r="S78" s="95"/>
      <c r="T78" s="95"/>
      <c r="U78" s="95"/>
      <c r="V78" s="95"/>
      <c r="W78" s="95"/>
      <c r="X78" s="95"/>
      <c r="Y78" s="95"/>
      <c r="Z78" s="95"/>
    </row>
    <row r="79" ht="15.75" customHeight="1" spans="1:26">
      <c r="A79" s="95" t="str">
        <f>dados_01!A79</f>
        <v>28/01/2026 08:25:56</v>
      </c>
      <c r="B79" s="95" t="str">
        <f>dados_01!B79</f>
        <v>5</v>
      </c>
      <c r="C79" s="95" t="str">
        <f>IFERROR(__xludf.DUMMYFUNCTION("JOIN("". "", ARRAYFORMULA(IFERROR(LEFT(SPLIT(dados_01!C79, "" ""), 1))))"),"M. G. D. S. P. A")</f>
        <v>M. G. D. S. P. A</v>
      </c>
      <c r="D79" s="95" t="str">
        <f>dados_01!D79</f>
        <v>15/05/2023</v>
      </c>
      <c r="E79" s="95" t="str">
        <f>CONCATENATE(LEFT(dados_01!E79,3),REPT("*",6),RIGHT(dados_01!E79,2))</f>
        <v>185******33</v>
      </c>
      <c r="F79" s="95" t="str">
        <f>dados_01!F79</f>
        <v>INFANTIL 2</v>
      </c>
      <c r="G79" s="95" t="str">
        <f>dados_01!G79</f>
        <v>CEMEI PROFESSORA LINDOMAR DOMINGOS DA SILVA ANJOS</v>
      </c>
      <c r="H79" s="95" t="str">
        <f>dados_01!H79</f>
        <v>REGIONAL 5</v>
      </c>
      <c r="I79" s="95">
        <f>dados_01!I79</f>
        <v>0</v>
      </c>
      <c r="J79" s="95"/>
      <c r="K79" s="95"/>
      <c r="L79" s="95"/>
      <c r="M79" s="95"/>
      <c r="N79" s="95"/>
      <c r="O79" s="95"/>
      <c r="P79" s="95"/>
      <c r="Q79" s="95"/>
      <c r="R79" s="95"/>
      <c r="S79" s="95"/>
      <c r="T79" s="95"/>
      <c r="U79" s="95"/>
      <c r="V79" s="95"/>
      <c r="W79" s="95"/>
      <c r="X79" s="95"/>
      <c r="Y79" s="95"/>
      <c r="Z79" s="95"/>
    </row>
    <row r="80" ht="15.75" customHeight="1" spans="1:26">
      <c r="A80" s="95" t="str">
        <f>dados_01!A80</f>
        <v>28/01/2026 08:25:59</v>
      </c>
      <c r="B80" s="95" t="str">
        <f>dados_01!B80</f>
        <v>6</v>
      </c>
      <c r="C80" s="95" t="str">
        <f>IFERROR(__xludf.DUMMYFUNCTION("JOIN("". "", ARRAYFORMULA(IFERROR(LEFT(SPLIT(dados_01!C80, "" ""), 1))))"),"E. B. S")</f>
        <v>E. B. S</v>
      </c>
      <c r="D80" s="95" t="str">
        <f>dados_01!D80</f>
        <v>12/12/2023</v>
      </c>
      <c r="E80" s="95" t="str">
        <f>CONCATENATE(LEFT(dados_01!E80,3),REPT("*",6),RIGHT(dados_01!E80,2))</f>
        <v>002******25</v>
      </c>
      <c r="F80" s="95" t="str">
        <f>dados_01!F80</f>
        <v>INFANTIL 2</v>
      </c>
      <c r="G80" s="95" t="str">
        <f>dados_01!G80</f>
        <v>CEMEI PROFESSORA LINDOMAR DOMINGOS DA SILVA ANJOS</v>
      </c>
      <c r="H80" s="95" t="str">
        <f>dados_01!H80</f>
        <v>REGIONAL 5</v>
      </c>
      <c r="I80" s="95">
        <f>dados_01!I80</f>
        <v>0</v>
      </c>
      <c r="J80" s="95"/>
      <c r="K80" s="95"/>
      <c r="L80" s="95"/>
      <c r="M80" s="95"/>
      <c r="N80" s="95"/>
      <c r="O80" s="95"/>
      <c r="P80" s="95"/>
      <c r="Q80" s="95"/>
      <c r="R80" s="95"/>
      <c r="S80" s="95"/>
      <c r="T80" s="95"/>
      <c r="U80" s="95"/>
      <c r="V80" s="95"/>
      <c r="W80" s="95"/>
      <c r="X80" s="95"/>
      <c r="Y80" s="95"/>
      <c r="Z80" s="95"/>
    </row>
    <row r="81" ht="15.75" customHeight="1" spans="1:26">
      <c r="A81" s="95" t="str">
        <f>dados_01!A81</f>
        <v>28/01/2026 08:31:41</v>
      </c>
      <c r="B81" s="95" t="str">
        <f>dados_01!B81</f>
        <v>7</v>
      </c>
      <c r="C81" s="95" t="str">
        <f>IFERROR(__xludf.DUMMYFUNCTION("JOIN("". "", ARRAYFORMULA(IFERROR(LEFT(SPLIT(dados_01!C81, "" ""), 1))))"),"L. M. S. L")</f>
        <v>L. M. S. L</v>
      </c>
      <c r="D81" s="95" t="str">
        <f>dados_01!D81</f>
        <v>25/01/2024</v>
      </c>
      <c r="E81" s="95" t="str">
        <f>CONCATENATE(LEFT(dados_01!E81,3),REPT("*",6),RIGHT(dados_01!E81,2))</f>
        <v>001******03</v>
      </c>
      <c r="F81" s="95" t="str">
        <f>dados_01!F81</f>
        <v>INFANTIL 2</v>
      </c>
      <c r="G81" s="95" t="str">
        <f>dados_01!G81</f>
        <v>CEMEI PROFESSORA LINDOMAR DOMINGOS DA SILVA ANJOS</v>
      </c>
      <c r="H81" s="95" t="str">
        <f>dados_01!H81</f>
        <v>REGIONAL 5</v>
      </c>
      <c r="I81" s="95">
        <f>dados_01!I81</f>
        <v>0</v>
      </c>
      <c r="J81" s="95"/>
      <c r="K81" s="95"/>
      <c r="L81" s="95"/>
      <c r="M81" s="95"/>
      <c r="N81" s="95"/>
      <c r="O81" s="95"/>
      <c r="P81" s="95"/>
      <c r="Q81" s="95"/>
      <c r="R81" s="95"/>
      <c r="S81" s="95"/>
      <c r="T81" s="95"/>
      <c r="U81" s="95"/>
      <c r="V81" s="95"/>
      <c r="W81" s="95"/>
      <c r="X81" s="95"/>
      <c r="Y81" s="95"/>
      <c r="Z81" s="95"/>
    </row>
    <row r="82" ht="15.75" customHeight="1" spans="1:26">
      <c r="A82" s="95" t="str">
        <f>dados_01!A82</f>
        <v>28/01/2026 09:00:15</v>
      </c>
      <c r="B82" s="95" t="str">
        <f>dados_01!B82</f>
        <v>8</v>
      </c>
      <c r="C82" s="95" t="str">
        <f>IFERROR(__xludf.DUMMYFUNCTION("JOIN("". "", ARRAYFORMULA(IFERROR(LEFT(SPLIT(dados_01!C82, "" ""), 1))))"),"H. M. C. D. L")</f>
        <v>H. M. C. D. L</v>
      </c>
      <c r="D82" s="95" t="str">
        <f>dados_01!D82</f>
        <v>21/12/2023</v>
      </c>
      <c r="E82" s="95" t="str">
        <f>CONCATENATE(LEFT(dados_01!E82,3),REPT("*",6),RIGHT(dados_01!E82,2))</f>
        <v>001******90</v>
      </c>
      <c r="F82" s="95" t="str">
        <f>dados_01!F82</f>
        <v>INFANTIL 2</v>
      </c>
      <c r="G82" s="95" t="str">
        <f>dados_01!G82</f>
        <v>CEMEI PROFESSORA LINDOMAR DOMINGOS DA SILVA ANJOS</v>
      </c>
      <c r="H82" s="95" t="str">
        <f>dados_01!H82</f>
        <v>REGIONAL 5</v>
      </c>
      <c r="I82" s="95">
        <f>dados_01!I82</f>
        <v>0</v>
      </c>
      <c r="J82" s="95"/>
      <c r="K82" s="95"/>
      <c r="L82" s="95"/>
      <c r="M82" s="95"/>
      <c r="N82" s="95"/>
      <c r="O82" s="95"/>
      <c r="P82" s="95"/>
      <c r="Q82" s="95"/>
      <c r="R82" s="95"/>
      <c r="S82" s="95"/>
      <c r="T82" s="95"/>
      <c r="U82" s="95"/>
      <c r="V82" s="95"/>
      <c r="W82" s="95"/>
      <c r="X82" s="95"/>
      <c r="Y82" s="95"/>
      <c r="Z82" s="95"/>
    </row>
    <row r="83" ht="15.75" customHeight="1" spans="1:26">
      <c r="A83" s="95" t="str">
        <f>dados_01!A83</f>
        <v>28/01/2026 09:08:41</v>
      </c>
      <c r="B83" s="95" t="str">
        <f>dados_01!B83</f>
        <v>9</v>
      </c>
      <c r="C83" s="95" t="str">
        <f>IFERROR(__xludf.DUMMYFUNCTION("JOIN("". "", ARRAYFORMULA(IFERROR(LEFT(SPLIT(dados_01!C83, "" ""), 1))))"),"T. V. D. S. F")</f>
        <v>T. V. D. S. F</v>
      </c>
      <c r="D83" s="95" t="str">
        <f>dados_01!D83</f>
        <v>04/08/2023</v>
      </c>
      <c r="E83" s="95" t="str">
        <f>CONCATENATE(LEFT(dados_01!E83,3),REPT("*",6),RIGHT(dados_01!E83,2))</f>
        <v>186******21</v>
      </c>
      <c r="F83" s="95" t="str">
        <f>dados_01!F83</f>
        <v>INFANTIL 2</v>
      </c>
      <c r="G83" s="95" t="str">
        <f>dados_01!G83</f>
        <v>CEMEI PROFESSORA LINDOMAR DOMINGOS DA SILVA ANJOS</v>
      </c>
      <c r="H83" s="95" t="str">
        <f>dados_01!H83</f>
        <v>REGIONAL 5</v>
      </c>
      <c r="I83" s="95">
        <f>dados_01!I83</f>
        <v>0</v>
      </c>
      <c r="J83" s="95"/>
      <c r="K83" s="95"/>
      <c r="L83" s="95"/>
      <c r="M83" s="95"/>
      <c r="N83" s="95"/>
      <c r="O83" s="95"/>
      <c r="P83" s="95"/>
      <c r="Q83" s="95"/>
      <c r="R83" s="95"/>
      <c r="S83" s="95"/>
      <c r="T83" s="95"/>
      <c r="U83" s="95"/>
      <c r="V83" s="95"/>
      <c r="W83" s="95"/>
      <c r="X83" s="95"/>
      <c r="Y83" s="95"/>
      <c r="Z83" s="95"/>
    </row>
    <row r="84" ht="15.75" customHeight="1" spans="1:26">
      <c r="A84" s="95" t="str">
        <f>dados_01!A84</f>
        <v>28/01/2026 09:29:37</v>
      </c>
      <c r="B84" s="95" t="str">
        <f>dados_01!B84</f>
        <v>10</v>
      </c>
      <c r="C84" s="95" t="str">
        <f>IFERROR(__xludf.DUMMYFUNCTION("JOIN("". "", ARRAYFORMULA(IFERROR(LEFT(SPLIT(dados_01!C84, "" ""), 1))))"),"M. F. D. S")</f>
        <v>M. F. D. S</v>
      </c>
      <c r="D84" s="95" t="str">
        <f>dados_01!D84</f>
        <v>30/12/2023</v>
      </c>
      <c r="E84" s="95" t="str">
        <f>CONCATENATE(LEFT(dados_01!E84,3),REPT("*",6),RIGHT(dados_01!E84,2))</f>
        <v>001******28</v>
      </c>
      <c r="F84" s="95" t="str">
        <f>dados_01!F84</f>
        <v>INFANTIL 2</v>
      </c>
      <c r="G84" s="95" t="str">
        <f>dados_01!G84</f>
        <v>CEMEI PROFESSORA LINDOMAR DOMINGOS DA SILVA ANJOS</v>
      </c>
      <c r="H84" s="95" t="str">
        <f>dados_01!H84</f>
        <v>REGIONAL 5</v>
      </c>
      <c r="I84" s="95">
        <f>dados_01!I84</f>
        <v>0</v>
      </c>
      <c r="J84" s="95"/>
      <c r="K84" s="95"/>
      <c r="L84" s="95"/>
      <c r="M84" s="95"/>
      <c r="N84" s="95"/>
      <c r="O84" s="95"/>
      <c r="P84" s="95"/>
      <c r="Q84" s="95"/>
      <c r="R84" s="95"/>
      <c r="S84" s="95"/>
      <c r="T84" s="95"/>
      <c r="U84" s="95"/>
      <c r="V84" s="95"/>
      <c r="W84" s="95"/>
      <c r="X84" s="95"/>
      <c r="Y84" s="95"/>
      <c r="Z84" s="95"/>
    </row>
    <row r="85" ht="15.75" customHeight="1" spans="1:26">
      <c r="A85" s="95" t="str">
        <f>dados_01!A85</f>
        <v>28/01/2026 10:56:41</v>
      </c>
      <c r="B85" s="95" t="str">
        <f>dados_01!B85</f>
        <v>11</v>
      </c>
      <c r="C85" s="95" t="str">
        <f>IFERROR(__xludf.DUMMYFUNCTION("JOIN("". "", ARRAYFORMULA(IFERROR(LEFT(SPLIT(dados_01!C85, "" ""), 1))))"),"Y. S. R")</f>
        <v>Y. S. R</v>
      </c>
      <c r="D85" s="95" t="str">
        <f>dados_01!D85</f>
        <v>11/10/2023</v>
      </c>
      <c r="E85" s="95" t="str">
        <f>CONCATENATE(LEFT(dados_01!E85,3),REPT("*",6),RIGHT(dados_01!E85,2))</f>
        <v>000******55</v>
      </c>
      <c r="F85" s="95" t="str">
        <f>dados_01!F85</f>
        <v>INFANTIL 2</v>
      </c>
      <c r="G85" s="95" t="str">
        <f>dados_01!G85</f>
        <v>CEMEI PROFESSORA LINDOMAR DOMINGOS DA SILVA ANJOS</v>
      </c>
      <c r="H85" s="95" t="str">
        <f>dados_01!H85</f>
        <v>REGIONAL 5</v>
      </c>
      <c r="I85" s="95">
        <f>dados_01!I85</f>
        <v>0</v>
      </c>
      <c r="J85" s="95"/>
      <c r="K85" s="95"/>
      <c r="L85" s="95"/>
      <c r="M85" s="95"/>
      <c r="N85" s="95"/>
      <c r="O85" s="95"/>
      <c r="P85" s="95"/>
      <c r="Q85" s="95"/>
      <c r="R85" s="95"/>
      <c r="S85" s="95"/>
      <c r="T85" s="95"/>
      <c r="U85" s="95"/>
      <c r="V85" s="95"/>
      <c r="W85" s="95"/>
      <c r="X85" s="95"/>
      <c r="Y85" s="95"/>
      <c r="Z85" s="95"/>
    </row>
    <row r="86" ht="15.75" customHeight="1" spans="1:26">
      <c r="A86" s="95" t="str">
        <f>dados_01!A86</f>
        <v>28/01/2026 11:08:50</v>
      </c>
      <c r="B86" s="95" t="str">
        <f>dados_01!B86</f>
        <v>12</v>
      </c>
      <c r="C86" s="95" t="str">
        <f>IFERROR(__xludf.DUMMYFUNCTION("JOIN("". "", ARRAYFORMULA(IFERROR(LEFT(SPLIT(dados_01!C86, "" ""), 1))))"),"A. V")</f>
        <v>A. V</v>
      </c>
      <c r="D86" s="95" t="str">
        <f>dados_01!D86</f>
        <v>28/07/2023</v>
      </c>
      <c r="E86" s="95" t="str">
        <f>CONCATENATE(LEFT(dados_01!E86,3),REPT("*",6),RIGHT(dados_01!E86,2))</f>
        <v>157******62</v>
      </c>
      <c r="F86" s="95" t="str">
        <f>dados_01!F86</f>
        <v>INFANTIL 2</v>
      </c>
      <c r="G86" s="95" t="str">
        <f>dados_01!G86</f>
        <v>CEMEI PROFESSORA LINDOMAR DOMINGOS DA SILVA ANJOS</v>
      </c>
      <c r="H86" s="95" t="str">
        <f>dados_01!H86</f>
        <v>REGIONAL 5</v>
      </c>
      <c r="I86" s="95">
        <f>dados_01!I86</f>
        <v>0</v>
      </c>
      <c r="J86" s="95"/>
      <c r="K86" s="95"/>
      <c r="L86" s="95"/>
      <c r="M86" s="95"/>
      <c r="N86" s="95"/>
      <c r="O86" s="95"/>
      <c r="P86" s="95"/>
      <c r="Q86" s="95"/>
      <c r="R86" s="95"/>
      <c r="S86" s="95"/>
      <c r="T86" s="95"/>
      <c r="U86" s="95"/>
      <c r="V86" s="95"/>
      <c r="W86" s="95"/>
      <c r="X86" s="95"/>
      <c r="Y86" s="95"/>
      <c r="Z86" s="95"/>
    </row>
    <row r="87" ht="15.75" customHeight="1" spans="1:26">
      <c r="A87" s="95" t="str">
        <f>dados_01!A87</f>
        <v>28/01/2026 12:27:56</v>
      </c>
      <c r="B87" s="95" t="str">
        <f>dados_01!B87</f>
        <v>13</v>
      </c>
      <c r="C87" s="95" t="str">
        <f>IFERROR(__xludf.DUMMYFUNCTION("JOIN("". "", ARRAYFORMULA(IFERROR(LEFT(SPLIT(dados_01!C87, "" ""), 1))))"),"M. M. D. S. C")</f>
        <v>M. M. D. S. C</v>
      </c>
      <c r="D87" s="95" t="str">
        <f>dados_01!D87</f>
        <v>10/06/2023</v>
      </c>
      <c r="E87" s="95" t="str">
        <f>CONCATENATE(LEFT(dados_01!E87,3),REPT("*",6),RIGHT(dados_01!E87,2))</f>
        <v>185******70</v>
      </c>
      <c r="F87" s="95" t="str">
        <f>dados_01!F87</f>
        <v>INFANTIL 2</v>
      </c>
      <c r="G87" s="95" t="str">
        <f>dados_01!G87</f>
        <v>CEMEI PROFESSORA LINDOMAR DOMINGOS DA SILVA ANJOS</v>
      </c>
      <c r="H87" s="95" t="str">
        <f>dados_01!H87</f>
        <v>REGIONAL 5</v>
      </c>
      <c r="I87" s="95">
        <f>dados_01!I87</f>
        <v>0</v>
      </c>
      <c r="J87" s="95"/>
      <c r="K87" s="95"/>
      <c r="L87" s="95"/>
      <c r="M87" s="95"/>
      <c r="N87" s="95"/>
      <c r="O87" s="95"/>
      <c r="P87" s="95"/>
      <c r="Q87" s="95"/>
      <c r="R87" s="95"/>
      <c r="S87" s="95"/>
      <c r="T87" s="95"/>
      <c r="U87" s="95"/>
      <c r="V87" s="95"/>
      <c r="W87" s="95"/>
      <c r="X87" s="95"/>
      <c r="Y87" s="95"/>
      <c r="Z87" s="95"/>
    </row>
    <row r="88" ht="15.75" customHeight="1" spans="1:26">
      <c r="A88" s="95" t="str">
        <f>dados_01!A88</f>
        <v>29/01/2026 09:34:00</v>
      </c>
      <c r="B88" s="95" t="str">
        <f>dados_01!B88</f>
        <v>14</v>
      </c>
      <c r="C88" s="95" t="str">
        <f>IFERROR(__xludf.DUMMYFUNCTION("JOIN("". "", ARRAYFORMULA(IFERROR(LEFT(SPLIT(dados_01!C88, "" ""), 1))))"),"L. S. O. D. A")</f>
        <v>L. S. O. D. A</v>
      </c>
      <c r="D88" s="95" t="str">
        <f>dados_01!D88</f>
        <v>13/12/2023</v>
      </c>
      <c r="E88" s="95" t="str">
        <f>CONCATENATE(LEFT(dados_01!E88,3),REPT("*",6),RIGHT(dados_01!E88,2))</f>
        <v>002******11</v>
      </c>
      <c r="F88" s="95" t="str">
        <f>dados_01!F88</f>
        <v>INFANTIL 2</v>
      </c>
      <c r="G88" s="95" t="str">
        <f>dados_01!G88</f>
        <v>CEMEI PROFESSORA LINDOMAR DOMINGOS DA SILVA ANJOS</v>
      </c>
      <c r="H88" s="95" t="str">
        <f>dados_01!H88</f>
        <v>REGIONAL 5</v>
      </c>
      <c r="I88" s="95">
        <f>dados_01!I88</f>
        <v>0</v>
      </c>
      <c r="J88" s="95"/>
      <c r="K88" s="95"/>
      <c r="L88" s="95"/>
      <c r="M88" s="95"/>
      <c r="N88" s="95"/>
      <c r="O88" s="95"/>
      <c r="P88" s="95"/>
      <c r="Q88" s="95"/>
      <c r="R88" s="95"/>
      <c r="S88" s="95"/>
      <c r="T88" s="95"/>
      <c r="U88" s="95"/>
      <c r="V88" s="95"/>
      <c r="W88" s="95"/>
      <c r="X88" s="95"/>
      <c r="Y88" s="95"/>
      <c r="Z88" s="95"/>
    </row>
    <row r="89" ht="15.75" customHeight="1" spans="1:26">
      <c r="A89" s="95" t="str">
        <f>dados_01!A89</f>
        <v>29/01/2026 19:07:33</v>
      </c>
      <c r="B89" s="95" t="str">
        <f>dados_01!B89</f>
        <v>15</v>
      </c>
      <c r="C89" s="95" t="str">
        <f>IFERROR(__xludf.DUMMYFUNCTION("JOIN("". "", ARRAYFORMULA(IFERROR(LEFT(SPLIT(dados_01!C89, "" ""), 1))))"),"J. P. A. D. S")</f>
        <v>J. P. A. D. S</v>
      </c>
      <c r="D89" s="95" t="str">
        <f>dados_01!D89</f>
        <v>13/05/2023</v>
      </c>
      <c r="E89" s="95" t="str">
        <f>CONCATENATE(LEFT(dados_01!E89,3),REPT("*",6),RIGHT(dados_01!E89,2))</f>
        <v>185******08</v>
      </c>
      <c r="F89" s="95" t="str">
        <f>dados_01!F89</f>
        <v>INFANTIL 2</v>
      </c>
      <c r="G89" s="95" t="str">
        <f>dados_01!G89</f>
        <v>CEMEI PROFESSORA LINDOMAR DOMINGOS DA SILVA ANJOS</v>
      </c>
      <c r="H89" s="95" t="str">
        <f>dados_01!H89</f>
        <v>REGIONAL 5</v>
      </c>
      <c r="I89" s="95">
        <f>dados_01!I89</f>
        <v>0</v>
      </c>
      <c r="J89" s="95"/>
      <c r="K89" s="95"/>
      <c r="L89" s="95"/>
      <c r="M89" s="95"/>
      <c r="N89" s="95"/>
      <c r="O89" s="95"/>
      <c r="P89" s="95"/>
      <c r="Q89" s="95"/>
      <c r="R89" s="95"/>
      <c r="S89" s="95"/>
      <c r="T89" s="95"/>
      <c r="U89" s="95"/>
      <c r="V89" s="95"/>
      <c r="W89" s="95"/>
      <c r="X89" s="95"/>
      <c r="Y89" s="95"/>
      <c r="Z89" s="95"/>
    </row>
    <row r="90" ht="15.75" customHeight="1" spans="1:26">
      <c r="A90" s="95" t="str">
        <f>dados_01!A90</f>
        <v>03/02/2026 12:10:55</v>
      </c>
      <c r="B90" s="95" t="str">
        <f>dados_01!B90</f>
        <v>16</v>
      </c>
      <c r="C90" s="95" t="str">
        <f>IFERROR(__xludf.DUMMYFUNCTION("JOIN("". "", ARRAYFORMULA(IFERROR(LEFT(SPLIT(dados_01!C90, "" ""), 1))))"),"E. B. M. F. N")</f>
        <v>E. B. M. F. N</v>
      </c>
      <c r="D90" s="95" t="str">
        <f>dados_01!D90</f>
        <v>11/11/2023</v>
      </c>
      <c r="E90" s="95" t="str">
        <f>CONCATENATE(LEFT(dados_01!E90,3),REPT("*",6),RIGHT(dados_01!E90,2))</f>
        <v>001******70</v>
      </c>
      <c r="F90" s="95" t="str">
        <f>dados_01!F90</f>
        <v>INFANTIL 2</v>
      </c>
      <c r="G90" s="95" t="str">
        <f>dados_01!G90</f>
        <v>CEMEI PROFESSORA LINDOMAR DOMINGOS DA SILVA ANJOS</v>
      </c>
      <c r="H90" s="95" t="str">
        <f>dados_01!H90</f>
        <v>REGIONAL 5</v>
      </c>
      <c r="I90" s="95">
        <f>dados_01!I90</f>
        <v>0</v>
      </c>
      <c r="J90" s="95"/>
      <c r="K90" s="95"/>
      <c r="L90" s="95"/>
      <c r="M90" s="95"/>
      <c r="N90" s="95"/>
      <c r="O90" s="95"/>
      <c r="P90" s="95"/>
      <c r="Q90" s="95"/>
      <c r="R90" s="95"/>
      <c r="S90" s="95"/>
      <c r="T90" s="95"/>
      <c r="U90" s="95"/>
      <c r="V90" s="95"/>
      <c r="W90" s="95"/>
      <c r="X90" s="95"/>
      <c r="Y90" s="95"/>
      <c r="Z90" s="95"/>
    </row>
    <row r="91" ht="15.75" customHeight="1" spans="1:26">
      <c r="A91" s="95" t="str">
        <f>dados_01!A91</f>
        <v>03/02/2026 19:19:03</v>
      </c>
      <c r="B91" s="95" t="str">
        <f>dados_01!B91</f>
        <v>17</v>
      </c>
      <c r="C91" s="95" t="str">
        <f>IFERROR(__xludf.DUMMYFUNCTION("JOIN("". "", ARRAYFORMULA(IFERROR(LEFT(SPLIT(dados_01!C91, "" ""), 1))))"),"A. E. V. D. S")</f>
        <v>A. E. V. D. S</v>
      </c>
      <c r="D91" s="95" t="str">
        <f>dados_01!D91</f>
        <v>22/06/2023</v>
      </c>
      <c r="E91" s="95" t="str">
        <f>CONCATENATE(LEFT(dados_01!E91,3),REPT("*",6),RIGHT(dados_01!E91,2))</f>
        <v>185******00</v>
      </c>
      <c r="F91" s="95" t="str">
        <f>dados_01!F91</f>
        <v>INFANTIL 2</v>
      </c>
      <c r="G91" s="95" t="str">
        <f>dados_01!G91</f>
        <v>CEMEI PROFESSORA LINDOMAR DOMINGOS DA SILVA ANJOS</v>
      </c>
      <c r="H91" s="95" t="str">
        <f>dados_01!H91</f>
        <v>REGIONAL 5</v>
      </c>
      <c r="I91" s="95">
        <f>dados_01!I91</f>
        <v>0</v>
      </c>
      <c r="J91" s="95"/>
      <c r="K91" s="95"/>
      <c r="L91" s="95"/>
      <c r="M91" s="95"/>
      <c r="N91" s="95"/>
      <c r="O91" s="95"/>
      <c r="P91" s="95"/>
      <c r="Q91" s="95"/>
      <c r="R91" s="95"/>
      <c r="S91" s="95"/>
      <c r="T91" s="95"/>
      <c r="U91" s="95"/>
      <c r="V91" s="95"/>
      <c r="W91" s="95"/>
      <c r="X91" s="95"/>
      <c r="Y91" s="95"/>
      <c r="Z91" s="95"/>
    </row>
    <row r="92" ht="15.75" customHeight="1" spans="1:26">
      <c r="A92" s="95" t="str">
        <f>dados_01!A92</f>
        <v>04/02/2026 09:54:58</v>
      </c>
      <c r="B92" s="95" t="str">
        <f>dados_01!B92</f>
        <v>18</v>
      </c>
      <c r="C92" s="95" t="str">
        <f>IFERROR(__xludf.DUMMYFUNCTION("JOIN("". "", ARRAYFORMULA(IFERROR(LEFT(SPLIT(dados_01!C92, "" ""), 1))))"),"A. M. M. D. L")</f>
        <v>A. M. M. D. L</v>
      </c>
      <c r="D92" s="95" t="str">
        <f>dados_01!D92</f>
        <v>11/07/2023</v>
      </c>
      <c r="E92" s="95" t="str">
        <f>CONCATENATE(LEFT(dados_01!E92,3),REPT("*",6),RIGHT(dados_01!E92,2))</f>
        <v>186******75</v>
      </c>
      <c r="F92" s="95" t="str">
        <f>dados_01!F92</f>
        <v>INFANTIL 2</v>
      </c>
      <c r="G92" s="95" t="str">
        <f>dados_01!G92</f>
        <v>CEMEI PROFESSORA LINDOMAR DOMINGOS DA SILVA ANJOS</v>
      </c>
      <c r="H92" s="95" t="str">
        <f>dados_01!H92</f>
        <v>REGIONAL 5</v>
      </c>
      <c r="I92" s="95">
        <f>dados_01!I92</f>
        <v>0</v>
      </c>
      <c r="J92" s="95"/>
      <c r="K92" s="95"/>
      <c r="L92" s="95"/>
      <c r="M92" s="95"/>
      <c r="N92" s="95"/>
      <c r="O92" s="95"/>
      <c r="P92" s="95"/>
      <c r="Q92" s="95"/>
      <c r="R92" s="95"/>
      <c r="S92" s="95"/>
      <c r="T92" s="95"/>
      <c r="U92" s="95"/>
      <c r="V92" s="95"/>
      <c r="W92" s="95"/>
      <c r="X92" s="95"/>
      <c r="Y92" s="95"/>
      <c r="Z92" s="95"/>
    </row>
    <row r="93" ht="15.75" customHeight="1" spans="1:26">
      <c r="A93" s="95" t="str">
        <f>dados_01!A93</f>
        <v>04/02/2026 12:41:36</v>
      </c>
      <c r="B93" s="95" t="str">
        <f>dados_01!B93</f>
        <v>19</v>
      </c>
      <c r="C93" s="95" t="str">
        <f>IFERROR(__xludf.DUMMYFUNCTION("JOIN("". "", ARRAYFORMULA(IFERROR(LEFT(SPLIT(dados_01!C93, "" ""), 1))))"),"I. R. D. S")</f>
        <v>I. R. D. S</v>
      </c>
      <c r="D93" s="95" t="str">
        <f>dados_01!D93</f>
        <v>17/04/2023</v>
      </c>
      <c r="E93" s="95" t="str">
        <f>CONCATENATE(LEFT(dados_01!E93,3),REPT("*",6),RIGHT(dados_01!E93,2))</f>
        <v>185******67</v>
      </c>
      <c r="F93" s="95" t="str">
        <f>dados_01!F93</f>
        <v>INFANTIL 2</v>
      </c>
      <c r="G93" s="95" t="str">
        <f>dados_01!G93</f>
        <v>CEMEI PROFESSORA LINDOMAR DOMINGOS DA SILVA ANJOS</v>
      </c>
      <c r="H93" s="95" t="str">
        <f>dados_01!H93</f>
        <v>REGIONAL 5</v>
      </c>
      <c r="I93" s="95">
        <f>dados_01!I93</f>
        <v>0</v>
      </c>
      <c r="J93" s="95"/>
      <c r="K93" s="95"/>
      <c r="L93" s="95"/>
      <c r="M93" s="95"/>
      <c r="N93" s="95"/>
      <c r="O93" s="95"/>
      <c r="P93" s="95"/>
      <c r="Q93" s="95"/>
      <c r="R93" s="95"/>
      <c r="S93" s="95"/>
      <c r="T93" s="95"/>
      <c r="U93" s="95"/>
      <c r="V93" s="95"/>
      <c r="W93" s="95"/>
      <c r="X93" s="95"/>
      <c r="Y93" s="95"/>
      <c r="Z93" s="95"/>
    </row>
    <row r="94" ht="15.75" customHeight="1" spans="1:26">
      <c r="A94" s="95" t="str">
        <f>dados_01!A94</f>
        <v>04/02/2026 15:23:58</v>
      </c>
      <c r="B94" s="95" t="str">
        <f>dados_01!B94</f>
        <v>20</v>
      </c>
      <c r="C94" s="95" t="str">
        <f>IFERROR(__xludf.DUMMYFUNCTION("JOIN("". "", ARRAYFORMULA(IFERROR(LEFT(SPLIT(dados_01!C94, "" ""), 1))))"),"C. R. L. D. S")</f>
        <v>C. R. L. D. S</v>
      </c>
      <c r="D94" s="95" t="str">
        <f>dados_01!D94</f>
        <v>05/06/2023</v>
      </c>
      <c r="E94" s="95" t="str">
        <f>CONCATENATE(LEFT(dados_01!E94,3),REPT("*",6),RIGHT(dados_01!E94,2))</f>
        <v>185******37</v>
      </c>
      <c r="F94" s="95" t="str">
        <f>dados_01!F94</f>
        <v>INFANTIL 2</v>
      </c>
      <c r="G94" s="95" t="str">
        <f>dados_01!G94</f>
        <v>CEMEI PROFESSORA LINDOMAR DOMINGOS DA SILVA ANJOS</v>
      </c>
      <c r="H94" s="95" t="str">
        <f>dados_01!H94</f>
        <v>REGIONAL 5</v>
      </c>
      <c r="I94" s="95">
        <f>dados_01!I94</f>
        <v>0</v>
      </c>
      <c r="J94" s="95"/>
      <c r="K94" s="95"/>
      <c r="L94" s="95"/>
      <c r="M94" s="95"/>
      <c r="N94" s="95"/>
      <c r="O94" s="95"/>
      <c r="P94" s="95"/>
      <c r="Q94" s="95"/>
      <c r="R94" s="95"/>
      <c r="S94" s="95"/>
      <c r="T94" s="95"/>
      <c r="U94" s="95"/>
      <c r="V94" s="95"/>
      <c r="W94" s="95"/>
      <c r="X94" s="95"/>
      <c r="Y94" s="95"/>
      <c r="Z94" s="95"/>
    </row>
    <row r="95" ht="15.75" customHeight="1" spans="1:26">
      <c r="A95" s="95" t="str">
        <f>dados_01!A95</f>
        <v>05/02/2026 16:07:06</v>
      </c>
      <c r="B95" s="95" t="str">
        <f>dados_01!B95</f>
        <v>21</v>
      </c>
      <c r="C95" s="95" t="str">
        <f>IFERROR(__xludf.DUMMYFUNCTION("JOIN("". "", ARRAYFORMULA(IFERROR(LEFT(SPLIT(dados_01!C95, "" ""), 1))))"),"C. R. M. A. D. A")</f>
        <v>C. R. M. A. D. A</v>
      </c>
      <c r="D95" s="95" t="str">
        <f>dados_01!D95</f>
        <v>11/08/2023</v>
      </c>
      <c r="E95" s="95" t="str">
        <f>CONCATENATE(LEFT(dados_01!E95,3),REPT("*",6),RIGHT(dados_01!E95,2))</f>
        <v>186******84</v>
      </c>
      <c r="F95" s="95" t="str">
        <f>dados_01!F95</f>
        <v>INFANTIL 2</v>
      </c>
      <c r="G95" s="95" t="str">
        <f>dados_01!G95</f>
        <v>CEMEI PROFESSORA LINDOMAR DOMINGOS DA SILVA ANJOS</v>
      </c>
      <c r="H95" s="95" t="str">
        <f>dados_01!H95</f>
        <v>REGIONAL 5</v>
      </c>
      <c r="I95" s="95">
        <f>dados_01!I95</f>
        <v>0</v>
      </c>
      <c r="J95" s="95"/>
      <c r="K95" s="95"/>
      <c r="L95" s="95"/>
      <c r="M95" s="95"/>
      <c r="N95" s="95"/>
      <c r="O95" s="95"/>
      <c r="P95" s="95"/>
      <c r="Q95" s="95"/>
      <c r="R95" s="95"/>
      <c r="S95" s="95"/>
      <c r="T95" s="95"/>
      <c r="U95" s="95"/>
      <c r="V95" s="95"/>
      <c r="W95" s="95"/>
      <c r="X95" s="95"/>
      <c r="Y95" s="95"/>
      <c r="Z95" s="95"/>
    </row>
    <row r="96" ht="15.75" customHeight="1" spans="1:26">
      <c r="A96" s="95" t="str">
        <f>dados_01!A96</f>
        <v>09/02/2026 09:40:47</v>
      </c>
      <c r="B96" s="95" t="str">
        <f>dados_01!B96</f>
        <v>22</v>
      </c>
      <c r="C96" s="95" t="str">
        <f>IFERROR(__xludf.DUMMYFUNCTION("JOIN("". "", ARRAYFORMULA(IFERROR(LEFT(SPLIT(dados_01!C96, "" ""), 1))))"),"M. C. D. S")</f>
        <v>M. C. D. S</v>
      </c>
      <c r="D96" s="95" t="str">
        <f>dados_01!D96</f>
        <v>26/01/2024</v>
      </c>
      <c r="E96" s="95" t="str">
        <f>CONCATENATE(LEFT(dados_01!E96,3),REPT("*",6),RIGHT(dados_01!E96,2))</f>
        <v>001******17</v>
      </c>
      <c r="F96" s="95" t="str">
        <f>dados_01!F96</f>
        <v>INFANTIL 2</v>
      </c>
      <c r="G96" s="95" t="str">
        <f>dados_01!G96</f>
        <v>CEMEI PROFESSORA LINDOMAR DOMINGOS DA SILVA ANJOS</v>
      </c>
      <c r="H96" s="95" t="str">
        <f>dados_01!H96</f>
        <v>REGIONAL 5</v>
      </c>
      <c r="I96" s="95">
        <f>dados_01!I96</f>
        <v>0</v>
      </c>
      <c r="J96" s="95"/>
      <c r="K96" s="95"/>
      <c r="L96" s="95"/>
      <c r="M96" s="95"/>
      <c r="N96" s="95"/>
      <c r="O96" s="95"/>
      <c r="P96" s="95"/>
      <c r="Q96" s="95"/>
      <c r="R96" s="95"/>
      <c r="S96" s="95"/>
      <c r="T96" s="95"/>
      <c r="U96" s="95"/>
      <c r="V96" s="95"/>
      <c r="W96" s="95"/>
      <c r="X96" s="95"/>
      <c r="Y96" s="95"/>
      <c r="Z96" s="95"/>
    </row>
    <row r="97" ht="15.75" customHeight="1" spans="1:26">
      <c r="A97" s="95" t="str">
        <f>dados_01!A97</f>
        <v>10/02/2026 07:55:39</v>
      </c>
      <c r="B97" s="95" t="str">
        <f>dados_01!B97</f>
        <v>23</v>
      </c>
      <c r="C97" s="95" t="str">
        <f>IFERROR(__xludf.DUMMYFUNCTION("JOIN("". "", ARRAYFORMULA(IFERROR(LEFT(SPLIT(dados_01!C97, "" ""), 1))))"),"M. B. G")</f>
        <v>M. B. G</v>
      </c>
      <c r="D97" s="95" t="str">
        <f>dados_01!D97</f>
        <v>07/12/2023</v>
      </c>
      <c r="E97" s="95" t="str">
        <f>CONCATENATE(LEFT(dados_01!E97,3),REPT("*",6),RIGHT(dados_01!E97,2))</f>
        <v>001******44</v>
      </c>
      <c r="F97" s="95" t="str">
        <f>dados_01!F97</f>
        <v>INFANTIL 2</v>
      </c>
      <c r="G97" s="95" t="str">
        <f>dados_01!G97</f>
        <v>CEMEI PROFESSORA LINDOMAR DOMINGOS DA SILVA ANJOS</v>
      </c>
      <c r="H97" s="95" t="str">
        <f>dados_01!H97</f>
        <v>REGIONAL 5</v>
      </c>
      <c r="I97" s="95">
        <f>dados_01!I97</f>
        <v>0</v>
      </c>
      <c r="J97" s="95"/>
      <c r="K97" s="95"/>
      <c r="L97" s="95"/>
      <c r="M97" s="95"/>
      <c r="N97" s="95"/>
      <c r="O97" s="95"/>
      <c r="P97" s="95"/>
      <c r="Q97" s="95"/>
      <c r="R97" s="95"/>
      <c r="S97" s="95"/>
      <c r="T97" s="95"/>
      <c r="U97" s="95"/>
      <c r="V97" s="95"/>
      <c r="W97" s="95"/>
      <c r="X97" s="95"/>
      <c r="Y97" s="95"/>
      <c r="Z97" s="95"/>
    </row>
    <row r="98" ht="15.75" customHeight="1" spans="1:26">
      <c r="A98" s="95" t="str">
        <f>dados_01!A98</f>
        <v>10/02/2026 08:09:08</v>
      </c>
      <c r="B98" s="95" t="str">
        <f>dados_01!B98</f>
        <v>24</v>
      </c>
      <c r="C98" s="95" t="str">
        <f>IFERROR(__xludf.DUMMYFUNCTION("JOIN("". "", ARRAYFORMULA(IFERROR(LEFT(SPLIT(dados_01!C98, "" ""), 1))))"),"G. L. M. D. L")</f>
        <v>G. L. M. D. L</v>
      </c>
      <c r="D98" s="95" t="str">
        <f>dados_01!D98</f>
        <v>08/06/2023</v>
      </c>
      <c r="E98" s="95" t="str">
        <f>CONCATENATE(LEFT(dados_01!E98,3),REPT("*",6),RIGHT(dados_01!E98,2))</f>
        <v>185******83</v>
      </c>
      <c r="F98" s="95" t="str">
        <f>dados_01!F98</f>
        <v>INFANTIL 2</v>
      </c>
      <c r="G98" s="95" t="str">
        <f>dados_01!G98</f>
        <v>CEMEI PROFESSORA LINDOMAR DOMINGOS DA SILVA ANJOS</v>
      </c>
      <c r="H98" s="95" t="str">
        <f>dados_01!H98</f>
        <v>REGIONAL 5</v>
      </c>
      <c r="I98" s="95">
        <f>dados_01!I98</f>
        <v>0</v>
      </c>
      <c r="J98" s="95"/>
      <c r="K98" s="95"/>
      <c r="L98" s="95"/>
      <c r="M98" s="95"/>
      <c r="N98" s="95"/>
      <c r="O98" s="95"/>
      <c r="P98" s="95"/>
      <c r="Q98" s="95"/>
      <c r="R98" s="95"/>
      <c r="S98" s="95"/>
      <c r="T98" s="95"/>
      <c r="U98" s="95"/>
      <c r="V98" s="95"/>
      <c r="W98" s="95"/>
      <c r="X98" s="95"/>
      <c r="Y98" s="95"/>
      <c r="Z98" s="95"/>
    </row>
    <row r="99" ht="15.75" customHeight="1" spans="1:26">
      <c r="A99" s="95" t="str">
        <f>dados_01!A99</f>
        <v>10/02/2026 11:18:19</v>
      </c>
      <c r="B99" s="95" t="str">
        <f>dados_01!B99</f>
        <v>25</v>
      </c>
      <c r="C99" s="95" t="str">
        <f>IFERROR(__xludf.DUMMYFUNCTION("JOIN("". "", ARRAYFORMULA(IFERROR(LEFT(SPLIT(dados_01!C99, "" ""), 1))))"),"J. J. A. D. S")</f>
        <v>J. J. A. D. S</v>
      </c>
      <c r="D99" s="95" t="str">
        <f>dados_01!D99</f>
        <v>05/07/2023</v>
      </c>
      <c r="E99" s="95" t="str">
        <f>CONCATENATE(LEFT(dados_01!E99,3),REPT("*",6),RIGHT(dados_01!E99,2))</f>
        <v>185******70</v>
      </c>
      <c r="F99" s="95" t="str">
        <f>dados_01!F99</f>
        <v>INFANTIL 2</v>
      </c>
      <c r="G99" s="95" t="str">
        <f>dados_01!G99</f>
        <v>CEMEI PROFESSORA LINDOMAR DOMINGOS DA SILVA ANJOS</v>
      </c>
      <c r="H99" s="95" t="str">
        <f>dados_01!H99</f>
        <v>REGIONAL 5</v>
      </c>
      <c r="I99" s="95">
        <f>dados_01!I99</f>
        <v>0</v>
      </c>
      <c r="J99" s="95"/>
      <c r="K99" s="95"/>
      <c r="L99" s="95"/>
      <c r="M99" s="95"/>
      <c r="N99" s="95"/>
      <c r="O99" s="95"/>
      <c r="P99" s="95"/>
      <c r="Q99" s="95"/>
      <c r="R99" s="95"/>
      <c r="S99" s="95"/>
      <c r="T99" s="95"/>
      <c r="U99" s="95"/>
      <c r="V99" s="95"/>
      <c r="W99" s="95"/>
      <c r="X99" s="95"/>
      <c r="Y99" s="95"/>
      <c r="Z99" s="95"/>
    </row>
    <row r="100" ht="15.75" customHeight="1" spans="1:26">
      <c r="A100" s="95" t="str">
        <f>dados_01!A100</f>
        <v>11/02/2026 13:53:52</v>
      </c>
      <c r="B100" s="95" t="str">
        <f>dados_01!B100</f>
        <v>26</v>
      </c>
      <c r="C100" s="95" t="str">
        <f>IFERROR(__xludf.DUMMYFUNCTION("JOIN("". "", ARRAYFORMULA(IFERROR(LEFT(SPLIT(dados_01!C100, "" ""), 1))))"),"Y. M. V. D. S. N")</f>
        <v>Y. M. V. D. S. N</v>
      </c>
      <c r="D100" s="95" t="str">
        <f>dados_01!D100</f>
        <v>10/11/2023</v>
      </c>
      <c r="E100" s="95" t="str">
        <f>CONCATENATE(LEFT(dados_01!E100,3),REPT("*",6),RIGHT(dados_01!E100,2))</f>
        <v>000******22</v>
      </c>
      <c r="F100" s="95" t="str">
        <f>dados_01!F100</f>
        <v>INFANTIL 2</v>
      </c>
      <c r="G100" s="95" t="str">
        <f>dados_01!G100</f>
        <v>CEMEI PROFESSORA LINDOMAR DOMINGOS DA SILVA ANJOS</v>
      </c>
      <c r="H100" s="95" t="str">
        <f>dados_01!H100</f>
        <v>REGIONAL 5</v>
      </c>
      <c r="I100" s="95">
        <f>dados_01!I100</f>
        <v>0</v>
      </c>
      <c r="J100" s="95"/>
      <c r="K100" s="95"/>
      <c r="L100" s="95"/>
      <c r="M100" s="95"/>
      <c r="N100" s="95"/>
      <c r="O100" s="95"/>
      <c r="P100" s="95"/>
      <c r="Q100" s="95"/>
      <c r="R100" s="95"/>
      <c r="S100" s="95"/>
      <c r="T100" s="95"/>
      <c r="U100" s="95"/>
      <c r="V100" s="95"/>
      <c r="W100" s="95"/>
      <c r="X100" s="95"/>
      <c r="Y100" s="95"/>
      <c r="Z100" s="95"/>
    </row>
    <row r="101" ht="15.75" customHeight="1" spans="1:26">
      <c r="A101" s="95" t="str">
        <f>dados_01!A101</f>
        <v>19/02/2026 09:30:52</v>
      </c>
      <c r="B101" s="95" t="str">
        <f>dados_01!B101</f>
        <v>27</v>
      </c>
      <c r="C101" s="95" t="str">
        <f>IFERROR(__xludf.DUMMYFUNCTION("JOIN("". "", ARRAYFORMULA(IFERROR(LEFT(SPLIT(dados_01!C101, "" ""), 1))))"),"B. D. S. F")</f>
        <v>B. D. S. F</v>
      </c>
      <c r="D101" s="95" t="str">
        <f>dados_01!D101</f>
        <v>25/04/2023</v>
      </c>
      <c r="E101" s="95" t="str">
        <f>CONCATENATE(LEFT(dados_01!E101,3),REPT("*",6),RIGHT(dados_01!E101,2))</f>
        <v>185******70</v>
      </c>
      <c r="F101" s="95" t="str">
        <f>dados_01!F101</f>
        <v>INFANTIL 2</v>
      </c>
      <c r="G101" s="95" t="str">
        <f>dados_01!G101</f>
        <v>CEMEI PROFESSORA LINDOMAR DOMINGOS DA SILVA ANJOS</v>
      </c>
      <c r="H101" s="95" t="str">
        <f>dados_01!H101</f>
        <v>REGIONAL 5</v>
      </c>
      <c r="I101" s="95">
        <f>dados_01!I101</f>
        <v>0</v>
      </c>
      <c r="J101" s="95"/>
      <c r="K101" s="95"/>
      <c r="L101" s="95"/>
      <c r="M101" s="95"/>
      <c r="N101" s="95"/>
      <c r="O101" s="95"/>
      <c r="P101" s="95"/>
      <c r="Q101" s="95"/>
      <c r="R101" s="95"/>
      <c r="S101" s="95"/>
      <c r="T101" s="95"/>
      <c r="U101" s="95"/>
      <c r="V101" s="95"/>
      <c r="W101" s="95"/>
      <c r="X101" s="95"/>
      <c r="Y101" s="95"/>
      <c r="Z101" s="95"/>
    </row>
    <row r="102" ht="15.75" customHeight="1" spans="1:26">
      <c r="A102" s="95" t="str">
        <f>dados_01!A102</f>
        <v>03/03/2026 12:02:06</v>
      </c>
      <c r="B102" s="95" t="str">
        <f>dados_01!B102</f>
        <v>28</v>
      </c>
      <c r="C102" s="95" t="str">
        <f>IFERROR(__xludf.DUMMYFUNCTION("JOIN("". "", ARRAYFORMULA(IFERROR(LEFT(SPLIT(dados_01!C102, "" ""), 1))))"),"H. B. D. S")</f>
        <v>H. B. D. S</v>
      </c>
      <c r="D102" s="95" t="str">
        <f>dados_01!D102</f>
        <v>27/06/2023</v>
      </c>
      <c r="E102" s="95" t="str">
        <f>CONCATENATE(LEFT(dados_01!E102,3),REPT("*",6),RIGHT(dados_01!E102,2))</f>
        <v>185******04</v>
      </c>
      <c r="F102" s="95" t="str">
        <f>dados_01!F102</f>
        <v>INFANTIL 2</v>
      </c>
      <c r="G102" s="95" t="str">
        <f>dados_01!G102</f>
        <v>CEMEI PROFESSORA LINDOMAR DOMINGOS DA SILVA ANJOS</v>
      </c>
      <c r="H102" s="95" t="str">
        <f>dados_01!H102</f>
        <v>REGIONAL 5</v>
      </c>
      <c r="I102" s="95">
        <f>dados_01!I102</f>
        <v>0</v>
      </c>
      <c r="J102" s="95"/>
      <c r="K102" s="95"/>
      <c r="L102" s="95"/>
      <c r="M102" s="95"/>
      <c r="N102" s="95"/>
      <c r="O102" s="95"/>
      <c r="P102" s="95"/>
      <c r="Q102" s="95"/>
      <c r="R102" s="95"/>
      <c r="S102" s="95"/>
      <c r="T102" s="95"/>
      <c r="U102" s="95"/>
      <c r="V102" s="95"/>
      <c r="W102" s="95"/>
      <c r="X102" s="95"/>
      <c r="Y102" s="95"/>
      <c r="Z102" s="95"/>
    </row>
    <row r="103" ht="15.75" customHeight="1" spans="1:26">
      <c r="A103" s="95" t="str">
        <f>dados_01!A103</f>
        <v>04/03/2026 07:55:35</v>
      </c>
      <c r="B103" s="95" t="str">
        <f>dados_01!B103</f>
        <v>29</v>
      </c>
      <c r="C103" s="95" t="str">
        <f>IFERROR(__xludf.DUMMYFUNCTION("JOIN("". "", ARRAYFORMULA(IFERROR(LEFT(SPLIT(dados_01!C103, "" ""), 1))))"),"A. G. P. D. S")</f>
        <v>A. G. P. D. S</v>
      </c>
      <c r="D103" s="95" t="str">
        <f>dados_01!D103</f>
        <v>16/11/2023</v>
      </c>
      <c r="E103" s="95" t="str">
        <f>CONCATENATE(LEFT(dados_01!E103,3),REPT("*",6),RIGHT(dados_01!E103,2))</f>
        <v>001******73</v>
      </c>
      <c r="F103" s="95" t="str">
        <f>dados_01!F103</f>
        <v>INFANTIL 2</v>
      </c>
      <c r="G103" s="95" t="str">
        <f>dados_01!G103</f>
        <v>CEMEI PROFESSORA LINDOMAR DOMINGOS DA SILVA ANJOS</v>
      </c>
      <c r="H103" s="95" t="str">
        <f>dados_01!H103</f>
        <v>REGIONAL 5</v>
      </c>
      <c r="I103" s="95">
        <f>dados_01!I103</f>
        <v>0</v>
      </c>
      <c r="J103" s="95"/>
      <c r="K103" s="95"/>
      <c r="L103" s="95"/>
      <c r="M103" s="95"/>
      <c r="N103" s="95"/>
      <c r="O103" s="95"/>
      <c r="P103" s="95"/>
      <c r="Q103" s="95"/>
      <c r="R103" s="95"/>
      <c r="S103" s="95"/>
      <c r="T103" s="95"/>
      <c r="U103" s="95"/>
      <c r="V103" s="95"/>
      <c r="W103" s="95"/>
      <c r="X103" s="95"/>
      <c r="Y103" s="95"/>
      <c r="Z103" s="95"/>
    </row>
    <row r="104" ht="15.75" customHeight="1" spans="1:26">
      <c r="A104" s="95" t="str">
        <f>dados_01!A104</f>
        <v>12/03/2026 11:41:32</v>
      </c>
      <c r="B104" s="95" t="str">
        <f>dados_01!B104</f>
        <v>30</v>
      </c>
      <c r="C104" s="95" t="str">
        <f>IFERROR(__xludf.DUMMYFUNCTION("JOIN("". "", ARRAYFORMULA(IFERROR(LEFT(SPLIT(dados_01!C104, "" ""), 1))))"),"A. H. S. D. S")</f>
        <v>A. H. S. D. S</v>
      </c>
      <c r="D104" s="95" t="str">
        <f>dados_01!D104</f>
        <v>21/09/2023</v>
      </c>
      <c r="E104" s="95" t="str">
        <f>CONCATENATE(LEFT(dados_01!E104,3),REPT("*",6),RIGHT(dados_01!E104,2))</f>
        <v>186******03</v>
      </c>
      <c r="F104" s="95" t="str">
        <f>dados_01!F104</f>
        <v>INFANTIL 2</v>
      </c>
      <c r="G104" s="95" t="str">
        <f>dados_01!G104</f>
        <v>CEMEI PROFESSORA LINDOMAR DOMINGOS DA SILVA ANJOS</v>
      </c>
      <c r="H104" s="95" t="str">
        <f>dados_01!H104</f>
        <v>REGIONAL 5</v>
      </c>
      <c r="I104" s="95">
        <f>dados_01!I104</f>
        <v>0</v>
      </c>
      <c r="J104" s="95"/>
      <c r="K104" s="95"/>
      <c r="L104" s="95"/>
      <c r="M104" s="95"/>
      <c r="N104" s="95"/>
      <c r="O104" s="95"/>
      <c r="P104" s="95"/>
      <c r="Q104" s="95"/>
      <c r="R104" s="95"/>
      <c r="S104" s="95"/>
      <c r="T104" s="95"/>
      <c r="U104" s="95"/>
      <c r="V104" s="95"/>
      <c r="W104" s="95"/>
      <c r="X104" s="95"/>
      <c r="Y104" s="95"/>
      <c r="Z104" s="95"/>
    </row>
    <row r="105" ht="15.75" customHeight="1" spans="1:26">
      <c r="A105" s="95" t="str">
        <f>dados_01!A105</f>
        <v>25/04/2026 06:48:05</v>
      </c>
      <c r="B105" s="95" t="str">
        <f>dados_01!B105</f>
        <v>31</v>
      </c>
      <c r="C105" s="95" t="str">
        <f>IFERROR(__xludf.DUMMYFUNCTION("JOIN("". "", ARRAYFORMULA(IFERROR(LEFT(SPLIT(dados_01!C105, "" ""), 1))))"),"C. M. D. A")</f>
        <v>C. M. D. A</v>
      </c>
      <c r="D105" s="95" t="str">
        <f>dados_01!D105</f>
        <v>23/09/2023</v>
      </c>
      <c r="E105" s="95" t="str">
        <f>CONCATENATE(LEFT(dados_01!E105,3),REPT("*",6),RIGHT(dados_01!E105,2))</f>
        <v>000******91</v>
      </c>
      <c r="F105" s="95" t="str">
        <f>dados_01!F105</f>
        <v>INFANTIL 2</v>
      </c>
      <c r="G105" s="95" t="str">
        <f>dados_01!G105</f>
        <v>CEMEI PROFESSORA LINDOMAR DOMINGOS DA SILVA ANJOS</v>
      </c>
      <c r="H105" s="95" t="str">
        <f>dados_01!H105</f>
        <v>REGIONAL 5</v>
      </c>
      <c r="I105" s="95">
        <f>dados_01!I105</f>
        <v>0</v>
      </c>
      <c r="J105" s="95"/>
      <c r="K105" s="95"/>
      <c r="L105" s="95"/>
      <c r="M105" s="95"/>
      <c r="N105" s="95"/>
      <c r="O105" s="95"/>
      <c r="P105" s="95"/>
      <c r="Q105" s="95"/>
      <c r="R105" s="95"/>
      <c r="S105" s="95"/>
      <c r="T105" s="95"/>
      <c r="U105" s="95"/>
      <c r="V105" s="95"/>
      <c r="W105" s="95"/>
      <c r="X105" s="95"/>
      <c r="Y105" s="95"/>
      <c r="Z105" s="95"/>
    </row>
    <row r="106" ht="15.75" customHeight="1" spans="1:26">
      <c r="A106" s="95" t="str">
        <f>dados_01!A106</f>
        <v>28/01/2026 08:09:51</v>
      </c>
      <c r="B106" s="95" t="str">
        <f>dados_01!B106</f>
        <v>1</v>
      </c>
      <c r="C106" s="95" t="str">
        <f>IFERROR(__xludf.DUMMYFUNCTION("JOIN("". "", ARRAYFORMULA(IFERROR(LEFT(SPLIT(dados_01!C106, "" ""), 1))))"),"J. V. M. D. S. S")</f>
        <v>J. V. M. D. S. S</v>
      </c>
      <c r="D106" s="95" t="str">
        <f>dados_01!D106</f>
        <v>11/08/2022</v>
      </c>
      <c r="E106" s="95" t="str">
        <f>CONCATENATE(LEFT(dados_01!E106,3),REPT("*",6),RIGHT(dados_01!E106,2))</f>
        <v>182******05</v>
      </c>
      <c r="F106" s="95" t="str">
        <f>dados_01!F106</f>
        <v>INFANTIL 3</v>
      </c>
      <c r="G106" s="95" t="str">
        <f>dados_01!G106</f>
        <v>CEMEI PROFESSORA LINDOMAR DOMINGOS DA SILVA ANJOS</v>
      </c>
      <c r="H106" s="95" t="str">
        <f>dados_01!H106</f>
        <v>REGIONAL 5</v>
      </c>
      <c r="I106" s="95">
        <f>dados_01!I106</f>
        <v>0</v>
      </c>
      <c r="J106" s="95"/>
      <c r="K106" s="95"/>
      <c r="L106" s="95"/>
      <c r="M106" s="95"/>
      <c r="N106" s="95"/>
      <c r="O106" s="95"/>
      <c r="P106" s="95"/>
      <c r="Q106" s="95"/>
      <c r="R106" s="95"/>
      <c r="S106" s="95"/>
      <c r="T106" s="95"/>
      <c r="U106" s="95"/>
      <c r="V106" s="95"/>
      <c r="W106" s="95"/>
      <c r="X106" s="95"/>
      <c r="Y106" s="95"/>
      <c r="Z106" s="95"/>
    </row>
    <row r="107" ht="15.75" customHeight="1" spans="1:26">
      <c r="A107" s="95" t="str">
        <f>dados_01!A107</f>
        <v>28/01/2026 08:18:50</v>
      </c>
      <c r="B107" s="95" t="str">
        <f>dados_01!B107</f>
        <v>2</v>
      </c>
      <c r="C107" s="95" t="str">
        <f>IFERROR(__xludf.DUMMYFUNCTION("JOIN("". "", ARRAYFORMULA(IFERROR(LEFT(SPLIT(dados_01!C107, "" ""), 1))))"),"T. S. A. S")</f>
        <v>T. S. A. S</v>
      </c>
      <c r="D107" s="95" t="str">
        <f>dados_01!D107</f>
        <v>25/06/2022</v>
      </c>
      <c r="E107" s="95" t="str">
        <f>CONCATENATE(LEFT(dados_01!E107,3),REPT("*",6),RIGHT(dados_01!E107,2))</f>
        <v>182******52</v>
      </c>
      <c r="F107" s="95" t="str">
        <f>dados_01!F107</f>
        <v>INFANTIL 3</v>
      </c>
      <c r="G107" s="95" t="str">
        <f>dados_01!G107</f>
        <v>CEMEI PROFESSORA LINDOMAR DOMINGOS DA SILVA ANJOS</v>
      </c>
      <c r="H107" s="95" t="str">
        <f>dados_01!H107</f>
        <v>REGIONAL 5</v>
      </c>
      <c r="I107" s="95">
        <f>dados_01!I107</f>
        <v>0</v>
      </c>
      <c r="J107" s="95"/>
      <c r="K107" s="95"/>
      <c r="L107" s="95"/>
      <c r="M107" s="95"/>
      <c r="N107" s="95"/>
      <c r="O107" s="95"/>
      <c r="P107" s="95"/>
      <c r="Q107" s="95"/>
      <c r="R107" s="95"/>
      <c r="S107" s="95"/>
      <c r="T107" s="95"/>
      <c r="U107" s="95"/>
      <c r="V107" s="95"/>
      <c r="W107" s="95"/>
      <c r="X107" s="95"/>
      <c r="Y107" s="95"/>
      <c r="Z107" s="95"/>
    </row>
    <row r="108" ht="15.75" customHeight="1" spans="1:26">
      <c r="A108" s="95" t="str">
        <f>dados_01!A108</f>
        <v>28/01/2026 08:24:51</v>
      </c>
      <c r="B108" s="95" t="str">
        <f>dados_01!B108</f>
        <v>3</v>
      </c>
      <c r="C108" s="95" t="str">
        <f>IFERROR(__xludf.DUMMYFUNCTION("JOIN("". "", ARRAYFORMULA(IFERROR(LEFT(SPLIT(dados_01!C108, "" ""), 1))))"),"K. L. V. D. S")</f>
        <v>K. L. V. D. S</v>
      </c>
      <c r="D108" s="95" t="str">
        <f>dados_01!D108</f>
        <v>14/01/2023</v>
      </c>
      <c r="E108" s="95" t="str">
        <f>CONCATENATE(LEFT(dados_01!E108,3),REPT("*",6),RIGHT(dados_01!E108,2))</f>
        <v>184******86</v>
      </c>
      <c r="F108" s="95" t="str">
        <f>dados_01!F108</f>
        <v>INFANTIL 3</v>
      </c>
      <c r="G108" s="95" t="str">
        <f>dados_01!G108</f>
        <v>CEMEI PROFESSORA LINDOMAR DOMINGOS DA SILVA ANJOS</v>
      </c>
      <c r="H108" s="95" t="str">
        <f>dados_01!H108</f>
        <v>REGIONAL 5</v>
      </c>
      <c r="I108" s="95">
        <f>dados_01!I108</f>
        <v>0</v>
      </c>
      <c r="J108" s="95"/>
      <c r="K108" s="95"/>
      <c r="L108" s="95"/>
      <c r="M108" s="95"/>
      <c r="N108" s="95"/>
      <c r="O108" s="95"/>
      <c r="P108" s="95"/>
      <c r="Q108" s="95"/>
      <c r="R108" s="95"/>
      <c r="S108" s="95"/>
      <c r="T108" s="95"/>
      <c r="U108" s="95"/>
      <c r="V108" s="95"/>
      <c r="W108" s="95"/>
      <c r="X108" s="95"/>
      <c r="Y108" s="95"/>
      <c r="Z108" s="95"/>
    </row>
    <row r="109" ht="15.75" customHeight="1" spans="1:26">
      <c r="A109" s="95" t="str">
        <f>dados_01!A109</f>
        <v>28/01/2026 08:40:24</v>
      </c>
      <c r="B109" s="95" t="str">
        <f>dados_01!B109</f>
        <v>4</v>
      </c>
      <c r="C109" s="95" t="str">
        <f>IFERROR(__xludf.DUMMYFUNCTION("JOIN("". "", ARRAYFORMULA(IFERROR(LEFT(SPLIT(dados_01!C109, "" ""), 1))))"),"A. H. D. O. S")</f>
        <v>A. H. D. O. S</v>
      </c>
      <c r="D109" s="95" t="str">
        <f>dados_01!D109</f>
        <v>16/05/2022</v>
      </c>
      <c r="E109" s="95" t="str">
        <f>CONCATENATE(LEFT(dados_01!E109,3),REPT("*",6),RIGHT(dados_01!E109,2))</f>
        <v>181******57</v>
      </c>
      <c r="F109" s="95" t="str">
        <f>dados_01!F109</f>
        <v>INFANTIL 3</v>
      </c>
      <c r="G109" s="95" t="str">
        <f>dados_01!G109</f>
        <v>CEMEI PROFESSORA LINDOMAR DOMINGOS DA SILVA ANJOS</v>
      </c>
      <c r="H109" s="95" t="str">
        <f>dados_01!H109</f>
        <v>REGIONAL 5</v>
      </c>
      <c r="I109" s="95">
        <f>dados_01!I109</f>
        <v>0</v>
      </c>
      <c r="J109" s="95"/>
      <c r="K109" s="95"/>
      <c r="L109" s="95"/>
      <c r="M109" s="95"/>
      <c r="N109" s="95"/>
      <c r="O109" s="95"/>
      <c r="P109" s="95"/>
      <c r="Q109" s="95"/>
      <c r="R109" s="95"/>
      <c r="S109" s="95"/>
      <c r="T109" s="95"/>
      <c r="U109" s="95"/>
      <c r="V109" s="95"/>
      <c r="W109" s="95"/>
      <c r="X109" s="95"/>
      <c r="Y109" s="95"/>
      <c r="Z109" s="95"/>
    </row>
    <row r="110" ht="15.75" customHeight="1" spans="1:26">
      <c r="A110" s="95" t="str">
        <f>dados_01!A110</f>
        <v>28/01/2026 08:49:30</v>
      </c>
      <c r="B110" s="95" t="str">
        <f>dados_01!B110</f>
        <v>5</v>
      </c>
      <c r="C110" s="95" t="str">
        <f>IFERROR(__xludf.DUMMYFUNCTION("JOIN("". "", ARRAYFORMULA(IFERROR(LEFT(SPLIT(dados_01!C110, "" ""), 1))))"),"J. B. S. D. S")</f>
        <v>J. B. S. D. S</v>
      </c>
      <c r="D110" s="95" t="str">
        <f>dados_01!D110</f>
        <v>06/03/2023</v>
      </c>
      <c r="E110" s="95" t="str">
        <f>CONCATENATE(LEFT(dados_01!E110,3),REPT("*",6),RIGHT(dados_01!E110,2))</f>
        <v>184******70</v>
      </c>
      <c r="F110" s="95" t="str">
        <f>dados_01!F110</f>
        <v>INFANTIL 3</v>
      </c>
      <c r="G110" s="95" t="str">
        <f>dados_01!G110</f>
        <v>CEMEI PROFESSORA LINDOMAR DOMINGOS DA SILVA ANJOS</v>
      </c>
      <c r="H110" s="95" t="str">
        <f>dados_01!H110</f>
        <v>REGIONAL 5</v>
      </c>
      <c r="I110" s="95">
        <f>dados_01!I110</f>
        <v>0</v>
      </c>
      <c r="J110" s="95"/>
      <c r="K110" s="95"/>
      <c r="L110" s="95"/>
      <c r="M110" s="95"/>
      <c r="N110" s="95"/>
      <c r="O110" s="95"/>
      <c r="P110" s="95"/>
      <c r="Q110" s="95"/>
      <c r="R110" s="95"/>
      <c r="S110" s="95"/>
      <c r="T110" s="95"/>
      <c r="U110" s="95"/>
      <c r="V110" s="95"/>
      <c r="W110" s="95"/>
      <c r="X110" s="95"/>
      <c r="Y110" s="95"/>
      <c r="Z110" s="95"/>
    </row>
    <row r="111" ht="15.75" customHeight="1" spans="1:26">
      <c r="A111" s="95" t="str">
        <f>dados_01!A111</f>
        <v>28/01/2026 10:50:39</v>
      </c>
      <c r="B111" s="95" t="str">
        <f>dados_01!B111</f>
        <v>6</v>
      </c>
      <c r="C111" s="95" t="str">
        <f>IFERROR(__xludf.DUMMYFUNCTION("JOIN("". "", ARRAYFORMULA(IFERROR(LEFT(SPLIT(dados_01!C111, "" ""), 1))))"),"G. S. R")</f>
        <v>G. S. R</v>
      </c>
      <c r="D111" s="95" t="str">
        <f>dados_01!D111</f>
        <v>14/04/2022</v>
      </c>
      <c r="E111" s="95" t="str">
        <f>CONCATENATE(LEFT(dados_01!E111,3),REPT("*",6),RIGHT(dados_01!E111,2))</f>
        <v>181******84</v>
      </c>
      <c r="F111" s="95" t="str">
        <f>dados_01!F111</f>
        <v>INFANTIL 3</v>
      </c>
      <c r="G111" s="95" t="str">
        <f>dados_01!G111</f>
        <v>CEMEI PROFESSORA LINDOMAR DOMINGOS DA SILVA ANJOS</v>
      </c>
      <c r="H111" s="95" t="str">
        <f>dados_01!H111</f>
        <v>REGIONAL 5</v>
      </c>
      <c r="I111" s="95">
        <f>dados_01!I111</f>
        <v>0</v>
      </c>
      <c r="J111" s="95"/>
      <c r="K111" s="95"/>
      <c r="L111" s="95"/>
      <c r="M111" s="95"/>
      <c r="N111" s="95"/>
      <c r="O111" s="95"/>
      <c r="P111" s="95"/>
      <c r="Q111" s="95"/>
      <c r="R111" s="95"/>
      <c r="S111" s="95"/>
      <c r="T111" s="95"/>
      <c r="U111" s="95"/>
      <c r="V111" s="95"/>
      <c r="W111" s="95"/>
      <c r="X111" s="95"/>
      <c r="Y111" s="95"/>
      <c r="Z111" s="95"/>
    </row>
    <row r="112" ht="15.75" customHeight="1" spans="1:26">
      <c r="A112" s="95" t="str">
        <f>dados_01!A112</f>
        <v>28/01/2026 15:27:57</v>
      </c>
      <c r="B112" s="95" t="str">
        <f>dados_01!B112</f>
        <v>7</v>
      </c>
      <c r="C112" s="95" t="str">
        <f>IFERROR(__xludf.DUMMYFUNCTION("JOIN("". "", ARRAYFORMULA(IFERROR(LEFT(SPLIT(dados_01!C112, "" ""), 1))))"),"A. B. N. D. S")</f>
        <v>A. B. N. D. S</v>
      </c>
      <c r="D112" s="95" t="str">
        <f>dados_01!D112</f>
        <v>19/04/2022</v>
      </c>
      <c r="E112" s="95" t="str">
        <f>CONCATENATE(LEFT(dados_01!E112,3),REPT("*",6),RIGHT(dados_01!E112,2))</f>
        <v>181******03</v>
      </c>
      <c r="F112" s="95" t="str">
        <f>dados_01!F112</f>
        <v>INFANTIL 3</v>
      </c>
      <c r="G112" s="95" t="str">
        <f>dados_01!G112</f>
        <v>CEMEI PROFESSORA LINDOMAR DOMINGOS DA SILVA ANJOS</v>
      </c>
      <c r="H112" s="95" t="str">
        <f>dados_01!H112</f>
        <v>REGIONAL 5</v>
      </c>
      <c r="I112" s="95">
        <f>dados_01!I112</f>
        <v>0</v>
      </c>
      <c r="J112" s="95"/>
      <c r="K112" s="95"/>
      <c r="L112" s="95"/>
      <c r="M112" s="95"/>
      <c r="N112" s="95"/>
      <c r="O112" s="95"/>
      <c r="P112" s="95"/>
      <c r="Q112" s="95"/>
      <c r="R112" s="95"/>
      <c r="S112" s="95"/>
      <c r="T112" s="95"/>
      <c r="U112" s="95"/>
      <c r="V112" s="95"/>
      <c r="W112" s="95"/>
      <c r="X112" s="95"/>
      <c r="Y112" s="95"/>
      <c r="Z112" s="95"/>
    </row>
    <row r="113" ht="15.75" customHeight="1" spans="1:26">
      <c r="A113" s="95" t="str">
        <f>dados_01!A113</f>
        <v>28/01/2026 16:26:14</v>
      </c>
      <c r="B113" s="95" t="str">
        <f>dados_01!B113</f>
        <v>8</v>
      </c>
      <c r="C113" s="95" t="str">
        <f>IFERROR(__xludf.DUMMYFUNCTION("JOIN("". "", ARRAYFORMULA(IFERROR(LEFT(SPLIT(dados_01!C113, "" ""), 1))))"),"A. T. S. D. S")</f>
        <v>A. T. S. D. S</v>
      </c>
      <c r="D113" s="95" t="str">
        <f>dados_01!D113</f>
        <v>13/12/2022</v>
      </c>
      <c r="E113" s="95" t="str">
        <f>CONCATENATE(LEFT(dados_01!E113,3),REPT("*",6),RIGHT(dados_01!E113,2))</f>
        <v>184******30</v>
      </c>
      <c r="F113" s="95" t="str">
        <f>dados_01!F113</f>
        <v>INFANTIL 3</v>
      </c>
      <c r="G113" s="95" t="str">
        <f>dados_01!G113</f>
        <v>CEMEI PROFESSORA LINDOMAR DOMINGOS DA SILVA ANJOS</v>
      </c>
      <c r="H113" s="95" t="str">
        <f>dados_01!H113</f>
        <v>REGIONAL 5</v>
      </c>
      <c r="I113" s="95">
        <f>dados_01!I113</f>
        <v>0</v>
      </c>
      <c r="J113" s="95"/>
      <c r="K113" s="95"/>
      <c r="L113" s="95"/>
      <c r="M113" s="95"/>
      <c r="N113" s="95"/>
      <c r="O113" s="95"/>
      <c r="P113" s="95"/>
      <c r="Q113" s="95"/>
      <c r="R113" s="95"/>
      <c r="S113" s="95"/>
      <c r="T113" s="95"/>
      <c r="U113" s="95"/>
      <c r="V113" s="95"/>
      <c r="W113" s="95"/>
      <c r="X113" s="95"/>
      <c r="Y113" s="95"/>
      <c r="Z113" s="95"/>
    </row>
    <row r="114" ht="15.75" customHeight="1" spans="1:26">
      <c r="A114" s="95" t="str">
        <f>dados_01!A114</f>
        <v>28/01/2026 22:31:23</v>
      </c>
      <c r="B114" s="95" t="str">
        <f>dados_01!B114</f>
        <v>9</v>
      </c>
      <c r="C114" s="95" t="str">
        <f>IFERROR(__xludf.DUMMYFUNCTION("JOIN("". "", ARRAYFORMULA(IFERROR(LEFT(SPLIT(dados_01!C114, "" ""), 1))))"),"L. M. D. H. S")</f>
        <v>L. M. D. H. S</v>
      </c>
      <c r="D114" s="95" t="str">
        <f>dados_01!D114</f>
        <v>26/12/2022</v>
      </c>
      <c r="E114" s="95" t="str">
        <f>CONCATENATE(LEFT(dados_01!E114,3),REPT("*",6),RIGHT(dados_01!E114,2))</f>
        <v>184******90</v>
      </c>
      <c r="F114" s="95" t="str">
        <f>dados_01!F114</f>
        <v>INFANTIL 3</v>
      </c>
      <c r="G114" s="95" t="str">
        <f>dados_01!G114</f>
        <v>CEMEI PROFESSORA LINDOMAR DOMINGOS DA SILVA ANJOS</v>
      </c>
      <c r="H114" s="95" t="str">
        <f>dados_01!H114</f>
        <v>REGIONAL 5</v>
      </c>
      <c r="I114" s="95">
        <f>dados_01!I114</f>
        <v>0</v>
      </c>
      <c r="J114" s="95"/>
      <c r="K114" s="95"/>
      <c r="L114" s="95"/>
      <c r="M114" s="95"/>
      <c r="N114" s="95"/>
      <c r="O114" s="95"/>
      <c r="P114" s="95"/>
      <c r="Q114" s="95"/>
      <c r="R114" s="95"/>
      <c r="S114" s="95"/>
      <c r="T114" s="95"/>
      <c r="U114" s="95"/>
      <c r="V114" s="95"/>
      <c r="W114" s="95"/>
      <c r="X114" s="95"/>
      <c r="Y114" s="95"/>
      <c r="Z114" s="95"/>
    </row>
    <row r="115" ht="15.75" customHeight="1" spans="1:26">
      <c r="A115" s="95" t="str">
        <f>dados_01!A115</f>
        <v>29/01/2026 13:04:58</v>
      </c>
      <c r="B115" s="95" t="str">
        <f>dados_01!B115</f>
        <v>10</v>
      </c>
      <c r="C115" s="95" t="str">
        <f>IFERROR(__xludf.DUMMYFUNCTION("JOIN("". "", ARRAYFORMULA(IFERROR(LEFT(SPLIT(dados_01!C115, "" ""), 1))))"),"G. A. G. D. S")</f>
        <v>G. A. G. D. S</v>
      </c>
      <c r="D115" s="95" t="str">
        <f>dados_01!D115</f>
        <v>19/02/2023</v>
      </c>
      <c r="E115" s="95" t="str">
        <f>CONCATENATE(LEFT(dados_01!E115,3),REPT("*",6),RIGHT(dados_01!E115,2))</f>
        <v>184******99</v>
      </c>
      <c r="F115" s="95" t="str">
        <f>dados_01!F115</f>
        <v>INFANTIL 3</v>
      </c>
      <c r="G115" s="95" t="str">
        <f>dados_01!G115</f>
        <v>CEMEI PROFESSORA LINDOMAR DOMINGOS DA SILVA ANJOS</v>
      </c>
      <c r="H115" s="95" t="str">
        <f>dados_01!H115</f>
        <v>REGIONAL 5</v>
      </c>
      <c r="I115" s="95">
        <f>dados_01!I115</f>
        <v>0</v>
      </c>
      <c r="J115" s="95"/>
      <c r="K115" s="95"/>
      <c r="L115" s="95"/>
      <c r="M115" s="95"/>
      <c r="N115" s="95"/>
      <c r="O115" s="95"/>
      <c r="P115" s="95"/>
      <c r="Q115" s="95"/>
      <c r="R115" s="95"/>
      <c r="S115" s="95"/>
      <c r="T115" s="95"/>
      <c r="U115" s="95"/>
      <c r="V115" s="95"/>
      <c r="W115" s="95"/>
      <c r="X115" s="95"/>
      <c r="Y115" s="95"/>
      <c r="Z115" s="95"/>
    </row>
    <row r="116" ht="15.75" customHeight="1" spans="1:26">
      <c r="A116" s="95" t="str">
        <f>dados_01!A116</f>
        <v>29/01/2026 14:26:01</v>
      </c>
      <c r="B116" s="95" t="str">
        <f>dados_01!B116</f>
        <v>11</v>
      </c>
      <c r="C116" s="95" t="str">
        <f>IFERROR(__xludf.DUMMYFUNCTION("JOIN("". "", ARRAYFORMULA(IFERROR(LEFT(SPLIT(dados_01!C116, "" ""), 1))))"),"I. M. C. G")</f>
        <v>I. M. C. G</v>
      </c>
      <c r="D116" s="95" t="str">
        <f>dados_01!D116</f>
        <v>18/02/2023</v>
      </c>
      <c r="E116" s="95" t="str">
        <f>CONCATENATE(LEFT(dados_01!E116,3),REPT("*",6),RIGHT(dados_01!E116,2))</f>
        <v>185******45</v>
      </c>
      <c r="F116" s="95" t="str">
        <f>dados_01!F116</f>
        <v>INFANTIL 3</v>
      </c>
      <c r="G116" s="95" t="str">
        <f>dados_01!G116</f>
        <v>CEMEI PROFESSORA LINDOMAR DOMINGOS DA SILVA ANJOS</v>
      </c>
      <c r="H116" s="95" t="str">
        <f>dados_01!H116</f>
        <v>REGIONAL 5</v>
      </c>
      <c r="I116" s="95">
        <f>dados_01!I116</f>
        <v>0</v>
      </c>
      <c r="J116" s="95"/>
      <c r="K116" s="95"/>
      <c r="L116" s="95"/>
      <c r="M116" s="95"/>
      <c r="N116" s="95"/>
      <c r="O116" s="95"/>
      <c r="P116" s="95"/>
      <c r="Q116" s="95"/>
      <c r="R116" s="95"/>
      <c r="S116" s="95"/>
      <c r="T116" s="95"/>
      <c r="U116" s="95"/>
      <c r="V116" s="95"/>
      <c r="W116" s="95"/>
      <c r="X116" s="95"/>
      <c r="Y116" s="95"/>
      <c r="Z116" s="95"/>
    </row>
    <row r="117" ht="15.75" customHeight="1" spans="1:26">
      <c r="A117" s="95" t="str">
        <f>dados_01!A117</f>
        <v>01/02/2026 17:23:13</v>
      </c>
      <c r="B117" s="95" t="str">
        <f>dados_01!B117</f>
        <v>12</v>
      </c>
      <c r="C117" s="95" t="str">
        <f>IFERROR(__xludf.DUMMYFUNCTION("JOIN("". "", ARRAYFORMULA(IFERROR(LEFT(SPLIT(dados_01!C117, "" ""), 1))))"),"T. H. G. D. S")</f>
        <v>T. H. G. D. S</v>
      </c>
      <c r="D117" s="95" t="str">
        <f>dados_01!D117</f>
        <v>18/07/2022</v>
      </c>
      <c r="E117" s="95" t="str">
        <f>CONCATENATE(LEFT(dados_01!E117,3),REPT("*",6),RIGHT(dados_01!E117,2))</f>
        <v>182******13</v>
      </c>
      <c r="F117" s="95" t="str">
        <f>dados_01!F117</f>
        <v>INFANTIL 3</v>
      </c>
      <c r="G117" s="95" t="str">
        <f>dados_01!G117</f>
        <v>CEMEI PROFESSORA LINDOMAR DOMINGOS DA SILVA ANJOS</v>
      </c>
      <c r="H117" s="95" t="str">
        <f>dados_01!H117</f>
        <v>REGIONAL 5</v>
      </c>
      <c r="I117" s="95">
        <f>dados_01!I117</f>
        <v>0</v>
      </c>
      <c r="J117" s="95"/>
      <c r="K117" s="95"/>
      <c r="L117" s="95"/>
      <c r="M117" s="95"/>
      <c r="N117" s="95"/>
      <c r="O117" s="95"/>
      <c r="P117" s="95"/>
      <c r="Q117" s="95"/>
      <c r="R117" s="95"/>
      <c r="S117" s="95"/>
      <c r="T117" s="95"/>
      <c r="U117" s="95"/>
      <c r="V117" s="95"/>
      <c r="W117" s="95"/>
      <c r="X117" s="95"/>
      <c r="Y117" s="95"/>
      <c r="Z117" s="95"/>
    </row>
    <row r="118" ht="15.75" customHeight="1" spans="1:26">
      <c r="A118" s="95" t="str">
        <f>dados_01!A118</f>
        <v>02/02/2026 08:52:36</v>
      </c>
      <c r="B118" s="95" t="str">
        <f>dados_01!B118</f>
        <v>13</v>
      </c>
      <c r="C118" s="95" t="str">
        <f>IFERROR(__xludf.DUMMYFUNCTION("JOIN("". "", ARRAYFORMULA(IFERROR(LEFT(SPLIT(dados_01!C118, "" ""), 1))))"),"N. S. N")</f>
        <v>N. S. N</v>
      </c>
      <c r="D118" s="95" t="str">
        <f>dados_01!D118</f>
        <v>20/09/2022</v>
      </c>
      <c r="E118" s="95" t="str">
        <f>CONCATENATE(LEFT(dados_01!E118,3),REPT("*",6),RIGHT(dados_01!E118,2))</f>
        <v>231******48</v>
      </c>
      <c r="F118" s="95" t="str">
        <f>dados_01!F118</f>
        <v>INFANTIL 3</v>
      </c>
      <c r="G118" s="95" t="str">
        <f>dados_01!G118</f>
        <v>CEMEI PROFESSORA LINDOMAR DOMINGOS DA SILVA ANJOS</v>
      </c>
      <c r="H118" s="95" t="str">
        <f>dados_01!H118</f>
        <v>REGIONAL 5</v>
      </c>
      <c r="I118" s="95">
        <f>dados_01!I118</f>
        <v>0</v>
      </c>
      <c r="J118" s="95"/>
      <c r="K118" s="95"/>
      <c r="L118" s="95"/>
      <c r="M118" s="95"/>
      <c r="N118" s="95"/>
      <c r="O118" s="95"/>
      <c r="P118" s="95"/>
      <c r="Q118" s="95"/>
      <c r="R118" s="95"/>
      <c r="S118" s="95"/>
      <c r="T118" s="95"/>
      <c r="U118" s="95"/>
      <c r="V118" s="95"/>
      <c r="W118" s="95"/>
      <c r="X118" s="95"/>
      <c r="Y118" s="95"/>
      <c r="Z118" s="95"/>
    </row>
    <row r="119" ht="15.75" customHeight="1" spans="1:26">
      <c r="A119" s="95" t="str">
        <f>dados_01!A119</f>
        <v>04/02/2026 14:48:24</v>
      </c>
      <c r="B119" s="95" t="str">
        <f>dados_01!B119</f>
        <v>14</v>
      </c>
      <c r="C119" s="95" t="str">
        <f>IFERROR(__xludf.DUMMYFUNCTION("JOIN("". "", ARRAYFORMULA(IFERROR(LEFT(SPLIT(dados_01!C119, "" ""), 1))))"),"R. L. A. D. S")</f>
        <v>R. L. A. D. S</v>
      </c>
      <c r="D119" s="95" t="str">
        <f>dados_01!D119</f>
        <v>06/03/2023</v>
      </c>
      <c r="E119" s="95" t="str">
        <f>CONCATENATE(LEFT(dados_01!E119,3),REPT("*",6),RIGHT(dados_01!E119,2))</f>
        <v>184******04</v>
      </c>
      <c r="F119" s="95" t="str">
        <f>dados_01!F119</f>
        <v>INFANTIL 3</v>
      </c>
      <c r="G119" s="95" t="str">
        <f>dados_01!G119</f>
        <v>CEMEI PROFESSORA LINDOMAR DOMINGOS DA SILVA ANJOS</v>
      </c>
      <c r="H119" s="95" t="str">
        <f>dados_01!H119</f>
        <v>REGIONAL 5</v>
      </c>
      <c r="I119" s="95">
        <f>dados_01!I119</f>
        <v>0</v>
      </c>
      <c r="J119" s="95"/>
      <c r="K119" s="95"/>
      <c r="L119" s="95"/>
      <c r="M119" s="95"/>
      <c r="N119" s="95"/>
      <c r="O119" s="95"/>
      <c r="P119" s="95"/>
      <c r="Q119" s="95"/>
      <c r="R119" s="95"/>
      <c r="S119" s="95"/>
      <c r="T119" s="95"/>
      <c r="U119" s="95"/>
      <c r="V119" s="95"/>
      <c r="W119" s="95"/>
      <c r="X119" s="95"/>
      <c r="Y119" s="95"/>
      <c r="Z119" s="95"/>
    </row>
    <row r="120" ht="15.75" customHeight="1" spans="1:26">
      <c r="A120" s="95" t="str">
        <f>dados_01!A120</f>
        <v>05/02/2026 15:38:25</v>
      </c>
      <c r="B120" s="95" t="str">
        <f>dados_01!B120</f>
        <v>15</v>
      </c>
      <c r="C120" s="95" t="str">
        <f>IFERROR(__xludf.DUMMYFUNCTION("JOIN("". "", ARRAYFORMULA(IFERROR(LEFT(SPLIT(dados_01!C120, "" ""), 1))))"),"A. L. M. S. D. S")</f>
        <v>A. L. M. S. D. S</v>
      </c>
      <c r="D120" s="95" t="str">
        <f>dados_01!D120</f>
        <v>13/06/2022</v>
      </c>
      <c r="E120" s="95" t="str">
        <f>CONCATENATE(LEFT(dados_01!E120,3),REPT("*",6),RIGHT(dados_01!E120,2))</f>
        <v>181******47</v>
      </c>
      <c r="F120" s="95" t="str">
        <f>dados_01!F120</f>
        <v>INFANTIL 3</v>
      </c>
      <c r="G120" s="95" t="str">
        <f>dados_01!G120</f>
        <v>CEMEI PROFESSORA LINDOMAR DOMINGOS DA SILVA ANJOS</v>
      </c>
      <c r="H120" s="95" t="str">
        <f>dados_01!H120</f>
        <v>REGIONAL 5</v>
      </c>
      <c r="I120" s="95">
        <f>dados_01!I120</f>
        <v>0</v>
      </c>
      <c r="J120" s="95"/>
      <c r="K120" s="95"/>
      <c r="L120" s="95"/>
      <c r="M120" s="95"/>
      <c r="N120" s="95"/>
      <c r="O120" s="95"/>
      <c r="P120" s="95"/>
      <c r="Q120" s="95"/>
      <c r="R120" s="95"/>
      <c r="S120" s="95"/>
      <c r="T120" s="95"/>
      <c r="U120" s="95"/>
      <c r="V120" s="95"/>
      <c r="W120" s="95"/>
      <c r="X120" s="95"/>
      <c r="Y120" s="95"/>
      <c r="Z120" s="95"/>
    </row>
    <row r="121" ht="15.75" customHeight="1" spans="1:26">
      <c r="A121" s="95" t="str">
        <f>dados_01!A121</f>
        <v>06/02/2026 15:36:56</v>
      </c>
      <c r="B121" s="95" t="str">
        <f>dados_01!B121</f>
        <v>16</v>
      </c>
      <c r="C121" s="95" t="str">
        <f>IFERROR(__xludf.DUMMYFUNCTION("JOIN("". "", ARRAYFORMULA(IFERROR(LEFT(SPLIT(dados_01!C121, "" ""), 1))))"),"M. B. D. S")</f>
        <v>M. B. D. S</v>
      </c>
      <c r="D121" s="95" t="str">
        <f>dados_01!D121</f>
        <v>13/11/2022</v>
      </c>
      <c r="E121" s="95" t="str">
        <f>CONCATENATE(LEFT(dados_01!E121,3),REPT("*",6),RIGHT(dados_01!E121,2))</f>
        <v>183******21</v>
      </c>
      <c r="F121" s="95" t="str">
        <f>dados_01!F121</f>
        <v>INFANTIL 3</v>
      </c>
      <c r="G121" s="95" t="str">
        <f>dados_01!G121</f>
        <v>CEMEI PROFESSORA LINDOMAR DOMINGOS DA SILVA ANJOS</v>
      </c>
      <c r="H121" s="95" t="str">
        <f>dados_01!H121</f>
        <v>REGIONAL 5</v>
      </c>
      <c r="I121" s="95">
        <f>dados_01!I121</f>
        <v>0</v>
      </c>
      <c r="J121" s="95"/>
      <c r="K121" s="95"/>
      <c r="L121" s="95"/>
      <c r="M121" s="95"/>
      <c r="N121" s="95"/>
      <c r="O121" s="95"/>
      <c r="P121" s="95"/>
      <c r="Q121" s="95"/>
      <c r="R121" s="95"/>
      <c r="S121" s="95"/>
      <c r="T121" s="95"/>
      <c r="U121" s="95"/>
      <c r="V121" s="95"/>
      <c r="W121" s="95"/>
      <c r="X121" s="95"/>
      <c r="Y121" s="95"/>
      <c r="Z121" s="95"/>
    </row>
    <row r="122" ht="15.75" customHeight="1" spans="1:26">
      <c r="A122" s="95" t="str">
        <f>dados_01!A122</f>
        <v>10/02/2026 09:04:52</v>
      </c>
      <c r="B122" s="95" t="str">
        <f>dados_01!B122</f>
        <v>17</v>
      </c>
      <c r="C122" s="95" t="str">
        <f>IFERROR(__xludf.DUMMYFUNCTION("JOIN("". "", ARRAYFORMULA(IFERROR(LEFT(SPLIT(dados_01!C122, "" ""), 1))))"),"A. C. M. S. D. S")</f>
        <v>A. C. M. S. D. S</v>
      </c>
      <c r="D122" s="95" t="str">
        <f>dados_01!D122</f>
        <v>13/06/2022</v>
      </c>
      <c r="E122" s="95" t="str">
        <f>CONCATENATE(LEFT(dados_01!E122,3),REPT("*",6),RIGHT(dados_01!E122,2))</f>
        <v>181******43</v>
      </c>
      <c r="F122" s="95" t="str">
        <f>dados_01!F122</f>
        <v>INFANTIL 3</v>
      </c>
      <c r="G122" s="95" t="str">
        <f>dados_01!G122</f>
        <v>CEMEI PROFESSORA LINDOMAR DOMINGOS DA SILVA ANJOS</v>
      </c>
      <c r="H122" s="95" t="str">
        <f>dados_01!H122</f>
        <v>REGIONAL 5</v>
      </c>
      <c r="I122" s="95">
        <f>dados_01!I122</f>
        <v>0</v>
      </c>
      <c r="J122" s="95"/>
      <c r="K122" s="95"/>
      <c r="L122" s="95"/>
      <c r="M122" s="95"/>
      <c r="N122" s="95"/>
      <c r="O122" s="95"/>
      <c r="P122" s="95"/>
      <c r="Q122" s="95"/>
      <c r="R122" s="95"/>
      <c r="S122" s="95"/>
      <c r="T122" s="95"/>
      <c r="U122" s="95"/>
      <c r="V122" s="95"/>
      <c r="W122" s="95"/>
      <c r="X122" s="95"/>
      <c r="Y122" s="95"/>
      <c r="Z122" s="95"/>
    </row>
    <row r="123" ht="15.75" customHeight="1" spans="1:26">
      <c r="A123" s="95" t="str">
        <f>dados_01!A123</f>
        <v>10/02/2026 10:01:04</v>
      </c>
      <c r="B123" s="95" t="str">
        <f>dados_01!B123</f>
        <v>18</v>
      </c>
      <c r="C123" s="95" t="str">
        <f>IFERROR(__xludf.DUMMYFUNCTION("JOIN("". "", ARRAYFORMULA(IFERROR(LEFT(SPLIT(dados_01!C123, "" ""), 1))))"),"R. V. D. S. M")</f>
        <v>R. V. D. S. M</v>
      </c>
      <c r="D123" s="95" t="str">
        <f>dados_01!D123</f>
        <v>22/08/2022</v>
      </c>
      <c r="E123" s="95" t="str">
        <f>CONCATENATE(LEFT(dados_01!E123,3),REPT("*",6),RIGHT(dados_01!E123,2))</f>
        <v>182******47</v>
      </c>
      <c r="F123" s="95" t="str">
        <f>dados_01!F123</f>
        <v>INFANTIL 3</v>
      </c>
      <c r="G123" s="95" t="str">
        <f>dados_01!G123</f>
        <v>CEMEI PROFESSORA LINDOMAR DOMINGOS DA SILVA ANJOS</v>
      </c>
      <c r="H123" s="95" t="str">
        <f>dados_01!H123</f>
        <v>REGIONAL 5</v>
      </c>
      <c r="I123" s="95">
        <f>dados_01!I123</f>
        <v>0</v>
      </c>
      <c r="J123" s="95"/>
      <c r="K123" s="95"/>
      <c r="L123" s="95"/>
      <c r="M123" s="95"/>
      <c r="N123" s="95"/>
      <c r="O123" s="95"/>
      <c r="P123" s="95"/>
      <c r="Q123" s="95"/>
      <c r="R123" s="95"/>
      <c r="S123" s="95"/>
      <c r="T123" s="95"/>
      <c r="U123" s="95"/>
      <c r="V123" s="95"/>
      <c r="W123" s="95"/>
      <c r="X123" s="95"/>
      <c r="Y123" s="95"/>
      <c r="Z123" s="95"/>
    </row>
    <row r="124" ht="15.75" customHeight="1" spans="1:26">
      <c r="A124" s="95" t="str">
        <f>dados_01!A124</f>
        <v>19/02/2026 09:51:04</v>
      </c>
      <c r="B124" s="95" t="str">
        <f>dados_01!B124</f>
        <v>19</v>
      </c>
      <c r="C124" s="95" t="str">
        <f>IFERROR(__xludf.DUMMYFUNCTION("JOIN("". "", ARRAYFORMULA(IFERROR(LEFT(SPLIT(dados_01!C124, "" ""), 1))))"),"A. L. B. S")</f>
        <v>A. L. B. S</v>
      </c>
      <c r="D124" s="95" t="str">
        <f>dados_01!D124</f>
        <v>28/08/2022</v>
      </c>
      <c r="E124" s="95" t="str">
        <f>CONCATENATE(LEFT(dados_01!E124,3),REPT("*",6),RIGHT(dados_01!E124,2))</f>
        <v>183******41</v>
      </c>
      <c r="F124" s="95" t="str">
        <f>dados_01!F124</f>
        <v>INFANTIL 3</v>
      </c>
      <c r="G124" s="95" t="str">
        <f>dados_01!G124</f>
        <v>CEMEI PROFESSORA LINDOMAR DOMINGOS DA SILVA ANJOS</v>
      </c>
      <c r="H124" s="95" t="str">
        <f>dados_01!H124</f>
        <v>REGIONAL 5</v>
      </c>
      <c r="I124" s="95">
        <f>dados_01!I124</f>
        <v>0</v>
      </c>
      <c r="J124" s="95"/>
      <c r="K124" s="95"/>
      <c r="L124" s="95"/>
      <c r="M124" s="95"/>
      <c r="N124" s="95"/>
      <c r="O124" s="95"/>
      <c r="P124" s="95"/>
      <c r="Q124" s="95"/>
      <c r="R124" s="95"/>
      <c r="S124" s="95"/>
      <c r="T124" s="95"/>
      <c r="U124" s="95"/>
      <c r="V124" s="95"/>
      <c r="W124" s="95"/>
      <c r="X124" s="95"/>
      <c r="Y124" s="95"/>
      <c r="Z124" s="95"/>
    </row>
    <row r="125" ht="15.75" customHeight="1" spans="1:26">
      <c r="A125" s="95" t="str">
        <f>dados_01!A125</f>
        <v>19/02/2026 16:10:29</v>
      </c>
      <c r="B125" s="95" t="str">
        <f>dados_01!B125</f>
        <v>20</v>
      </c>
      <c r="C125" s="95" t="str">
        <f>IFERROR(__xludf.DUMMYFUNCTION("JOIN("". "", ARRAYFORMULA(IFERROR(LEFT(SPLIT(dados_01!C125, "" ""), 1))))"),"L. F. L")</f>
        <v>L. F. L</v>
      </c>
      <c r="D125" s="95" t="str">
        <f>dados_01!D125</f>
        <v>19/07/2022</v>
      </c>
      <c r="E125" s="95" t="str">
        <f>CONCATENATE(LEFT(dados_01!E125,3),REPT("*",6),RIGHT(dados_01!E125,2))</f>
        <v>182******54</v>
      </c>
      <c r="F125" s="95" t="str">
        <f>dados_01!F125</f>
        <v>INFANTIL 3</v>
      </c>
      <c r="G125" s="95" t="str">
        <f>dados_01!G125</f>
        <v>CEMEI PROFESSORA LINDOMAR DOMINGOS DA SILVA ANJOS</v>
      </c>
      <c r="H125" s="95" t="str">
        <f>dados_01!H125</f>
        <v>REGIONAL 5</v>
      </c>
      <c r="I125" s="95">
        <f>dados_01!I125</f>
        <v>0</v>
      </c>
      <c r="J125" s="95"/>
      <c r="K125" s="95"/>
      <c r="L125" s="95"/>
      <c r="M125" s="95"/>
      <c r="N125" s="95"/>
      <c r="O125" s="95"/>
      <c r="P125" s="95"/>
      <c r="Q125" s="95"/>
      <c r="R125" s="95"/>
      <c r="S125" s="95"/>
      <c r="T125" s="95"/>
      <c r="U125" s="95"/>
      <c r="V125" s="95"/>
      <c r="W125" s="95"/>
      <c r="X125" s="95"/>
      <c r="Y125" s="95"/>
      <c r="Z125" s="95"/>
    </row>
    <row r="126" ht="15.75" customHeight="1" spans="1:26">
      <c r="A126" s="95" t="str">
        <f>dados_01!A126</f>
        <v>03/03/2026 13:51:57</v>
      </c>
      <c r="B126" s="95" t="str">
        <f>dados_01!B126</f>
        <v>21</v>
      </c>
      <c r="C126" s="95" t="str">
        <f>IFERROR(__xludf.DUMMYFUNCTION("JOIN("". "", ARRAYFORMULA(IFERROR(LEFT(SPLIT(dados_01!C126, "" ""), 1))))"),"T. R. D. D. M")</f>
        <v>T. R. D. D. M</v>
      </c>
      <c r="D126" s="95" t="str">
        <f>dados_01!D126</f>
        <v>15/03/2023</v>
      </c>
      <c r="E126" s="95" t="str">
        <f>CONCATENATE(LEFT(dados_01!E126,3),REPT("*",6),RIGHT(dados_01!E126,2))</f>
        <v>184******07</v>
      </c>
      <c r="F126" s="95" t="str">
        <f>dados_01!F126</f>
        <v>INFANTIL 3</v>
      </c>
      <c r="G126" s="95" t="str">
        <f>dados_01!G126</f>
        <v>CEMEI PROFESSORA LINDOMAR DOMINGOS DA SILVA ANJOS</v>
      </c>
      <c r="H126" s="95" t="str">
        <f>dados_01!H126</f>
        <v>REGIONAL 5</v>
      </c>
      <c r="I126" s="95">
        <f>dados_01!I126</f>
        <v>0</v>
      </c>
      <c r="J126" s="95"/>
      <c r="K126" s="95"/>
      <c r="L126" s="95"/>
      <c r="M126" s="95"/>
      <c r="N126" s="95"/>
      <c r="O126" s="95"/>
      <c r="P126" s="95"/>
      <c r="Q126" s="95"/>
      <c r="R126" s="95"/>
      <c r="S126" s="95"/>
      <c r="T126" s="95"/>
      <c r="U126" s="95"/>
      <c r="V126" s="95"/>
      <c r="W126" s="95"/>
      <c r="X126" s="95"/>
      <c r="Y126" s="95"/>
      <c r="Z126" s="95"/>
    </row>
    <row r="127" ht="15.75" customHeight="1" spans="1:26">
      <c r="A127" s="95" t="str">
        <f>dados_01!A127</f>
        <v>24/03/2026 15:33:58</v>
      </c>
      <c r="B127" s="95" t="str">
        <f>dados_01!B127</f>
        <v>22</v>
      </c>
      <c r="C127" s="95" t="str">
        <f>IFERROR(__xludf.DUMMYFUNCTION("JOIN("". "", ARRAYFORMULA(IFERROR(LEFT(SPLIT(dados_01!C127, "" ""), 1))))"),"A. V. C. D. S")</f>
        <v>A. V. C. D. S</v>
      </c>
      <c r="D127" s="95" t="str">
        <f>dados_01!D127</f>
        <v>06/10/2022</v>
      </c>
      <c r="E127" s="95" t="str">
        <f>CONCATENATE(LEFT(dados_01!E127,3),REPT("*",6),RIGHT(dados_01!E127,2))</f>
        <v>093******73</v>
      </c>
      <c r="F127" s="95" t="str">
        <f>dados_01!F127</f>
        <v>INFANTIL 3</v>
      </c>
      <c r="G127" s="95" t="str">
        <f>dados_01!G127</f>
        <v>CEMEI PROFESSORA LINDOMAR DOMINGOS DA SILVA ANJOS</v>
      </c>
      <c r="H127" s="95" t="str">
        <f>dados_01!H127</f>
        <v>REGIONAL 5</v>
      </c>
      <c r="I127" s="95">
        <f>dados_01!I127</f>
        <v>0</v>
      </c>
      <c r="J127" s="95"/>
      <c r="K127" s="95"/>
      <c r="L127" s="95"/>
      <c r="M127" s="95"/>
      <c r="N127" s="95"/>
      <c r="O127" s="95"/>
      <c r="P127" s="95"/>
      <c r="Q127" s="95"/>
      <c r="R127" s="95"/>
      <c r="S127" s="95"/>
      <c r="T127" s="95"/>
      <c r="U127" s="95"/>
      <c r="V127" s="95"/>
      <c r="W127" s="95"/>
      <c r="X127" s="95"/>
      <c r="Y127" s="95"/>
      <c r="Z127" s="95"/>
    </row>
    <row r="128" ht="15.75" customHeight="1" spans="1:26">
      <c r="A128" s="95" t="str">
        <f>dados_01!A128</f>
        <v>09/04/2026 12:42:59</v>
      </c>
      <c r="B128" s="95" t="str">
        <f>dados_01!B128</f>
        <v>23</v>
      </c>
      <c r="C128" s="95" t="str">
        <f>IFERROR(__xludf.DUMMYFUNCTION("JOIN("". "", ARRAYFORMULA(IFERROR(LEFT(SPLIT(dados_01!C128, "" ""), 1))))"),"T. E. D. S")</f>
        <v>T. E. D. S</v>
      </c>
      <c r="D128" s="95" t="str">
        <f>dados_01!D128</f>
        <v>28/09/2022</v>
      </c>
      <c r="E128" s="95" t="str">
        <f>CONCATENATE(LEFT(dados_01!E128,3),REPT("*",6),RIGHT(dados_01!E128,2))</f>
        <v>183******73</v>
      </c>
      <c r="F128" s="95" t="str">
        <f>dados_01!F128</f>
        <v>INFANTIL 3</v>
      </c>
      <c r="G128" s="95" t="str">
        <f>dados_01!G128</f>
        <v>CEMEI PROFESSORA LINDOMAR DOMINGOS DA SILVA ANJOS</v>
      </c>
      <c r="H128" s="95" t="str">
        <f>dados_01!H128</f>
        <v>REGIONAL 5</v>
      </c>
      <c r="I128" s="95">
        <f>dados_01!I128</f>
        <v>0</v>
      </c>
      <c r="J128" s="95"/>
      <c r="K128" s="95"/>
      <c r="L128" s="95"/>
      <c r="M128" s="95"/>
      <c r="N128" s="95"/>
      <c r="O128" s="95"/>
      <c r="P128" s="95"/>
      <c r="Q128" s="95"/>
      <c r="R128" s="95"/>
      <c r="S128" s="95"/>
      <c r="T128" s="95"/>
      <c r="U128" s="95"/>
      <c r="V128" s="95"/>
      <c r="W128" s="95"/>
      <c r="X128" s="95"/>
      <c r="Y128" s="95"/>
      <c r="Z128" s="95"/>
    </row>
    <row r="129" ht="15.75" customHeight="1" spans="1:26">
      <c r="A129" s="95" t="str">
        <f>dados_01!A129</f>
        <v>15/04/2026 12:12:34</v>
      </c>
      <c r="B129" s="95" t="str">
        <f>dados_01!B129</f>
        <v>24</v>
      </c>
      <c r="C129" s="95" t="str">
        <f>IFERROR(__xludf.DUMMYFUNCTION("JOIN("". "", ARRAYFORMULA(IFERROR(LEFT(SPLIT(dados_01!C129, "" ""), 1))))"),"L. M. M. D. C")</f>
        <v>L. M. M. D. C</v>
      </c>
      <c r="D129" s="95" t="str">
        <f>dados_01!D129</f>
        <v>15/05/2022</v>
      </c>
      <c r="E129" s="95" t="str">
        <f>CONCATENATE(LEFT(dados_01!E129,3),REPT("*",6),RIGHT(dados_01!E129,2))</f>
        <v>181******39</v>
      </c>
      <c r="F129" s="95" t="str">
        <f>dados_01!F129</f>
        <v>INFANTIL 3</v>
      </c>
      <c r="G129" s="95" t="str">
        <f>dados_01!G129</f>
        <v>CEMEI PROFESSORA LINDOMAR DOMINGOS DA SILVA ANJOS</v>
      </c>
      <c r="H129" s="95" t="str">
        <f>dados_01!H129</f>
        <v>REGIONAL 5</v>
      </c>
      <c r="I129" s="95">
        <f>dados_01!I129</f>
        <v>0</v>
      </c>
      <c r="J129" s="95"/>
      <c r="K129" s="95"/>
      <c r="L129" s="95"/>
      <c r="M129" s="95"/>
      <c r="N129" s="95"/>
      <c r="O129" s="95"/>
      <c r="P129" s="95"/>
      <c r="Q129" s="95"/>
      <c r="R129" s="95"/>
      <c r="S129" s="95"/>
      <c r="T129" s="95"/>
      <c r="U129" s="95"/>
      <c r="V129" s="95"/>
      <c r="W129" s="95"/>
      <c r="X129" s="95"/>
      <c r="Y129" s="95"/>
      <c r="Z129" s="95"/>
    </row>
    <row r="130" ht="15.75" customHeight="1" spans="1:26">
      <c r="A130" s="95" t="str">
        <f>dados_01!A130</f>
        <v>15/04/2026 20:08:01</v>
      </c>
      <c r="B130" s="95" t="str">
        <f>dados_01!B130</f>
        <v>25</v>
      </c>
      <c r="C130" s="95" t="str">
        <f>IFERROR(__xludf.DUMMYFUNCTION("JOIN("". "", ARRAYFORMULA(IFERROR(LEFT(SPLIT(dados_01!C130, "" ""), 1))))"),"M. L. V. D. S")</f>
        <v>M. L. V. D. S</v>
      </c>
      <c r="D130" s="95" t="str">
        <f>dados_01!D130</f>
        <v>06/03/2023</v>
      </c>
      <c r="E130" s="95" t="str">
        <f>CONCATENATE(LEFT(dados_01!E130,3),REPT("*",6),RIGHT(dados_01!E130,2))</f>
        <v>184******09</v>
      </c>
      <c r="F130" s="95" t="str">
        <f>dados_01!F130</f>
        <v>INFANTIL 3</v>
      </c>
      <c r="G130" s="95" t="str">
        <f>dados_01!G130</f>
        <v>CEMEI PROFESSORA LINDOMAR DOMINGOS DA SILVA ANJOS</v>
      </c>
      <c r="H130" s="95" t="str">
        <f>dados_01!H130</f>
        <v>REGIONAL 5</v>
      </c>
      <c r="I130" s="95">
        <f>dados_01!I130</f>
        <v>0</v>
      </c>
      <c r="J130" s="95"/>
      <c r="K130" s="95"/>
      <c r="L130" s="95"/>
      <c r="M130" s="95"/>
      <c r="N130" s="95"/>
      <c r="O130" s="95"/>
      <c r="P130" s="95"/>
      <c r="Q130" s="95"/>
      <c r="R130" s="95"/>
      <c r="S130" s="95"/>
      <c r="T130" s="95"/>
      <c r="U130" s="95"/>
      <c r="V130" s="95"/>
      <c r="W130" s="95"/>
      <c r="X130" s="95"/>
      <c r="Y130" s="95"/>
      <c r="Z130" s="95"/>
    </row>
    <row r="131" ht="15.75" customHeight="1" spans="1:26">
      <c r="A131" s="95" t="str">
        <f>dados_01!A131</f>
        <v>24/04/2026 15:30:49</v>
      </c>
      <c r="B131" s="95" t="str">
        <f>dados_01!B131</f>
        <v>26</v>
      </c>
      <c r="C131" s="95" t="str">
        <f>IFERROR(__xludf.DUMMYFUNCTION("JOIN("". "", ARRAYFORMULA(IFERROR(LEFT(SPLIT(dados_01!C131, "" ""), 1))))"),"L. G. D. S. M")</f>
        <v>L. G. D. S. M</v>
      </c>
      <c r="D131" s="95" t="str">
        <f>dados_01!D131</f>
        <v>27/07/2022</v>
      </c>
      <c r="E131" s="95" t="str">
        <f>CONCATENATE(LEFT(dados_01!E131,3),REPT("*",6),RIGHT(dados_01!E131,2))</f>
        <v>182******80</v>
      </c>
      <c r="F131" s="95" t="str">
        <f>dados_01!F131</f>
        <v>INFANTIL 3</v>
      </c>
      <c r="G131" s="95" t="str">
        <f>dados_01!G131</f>
        <v>CEMEI PROFESSORA LINDOMAR DOMINGOS DA SILVA ANJOS</v>
      </c>
      <c r="H131" s="95" t="str">
        <f>dados_01!H131</f>
        <v>REGIONAL 5</v>
      </c>
      <c r="I131" s="95">
        <f>dados_01!I131</f>
        <v>0</v>
      </c>
      <c r="J131" s="95"/>
      <c r="K131" s="95"/>
      <c r="L131" s="95"/>
      <c r="M131" s="95"/>
      <c r="N131" s="95"/>
      <c r="O131" s="95"/>
      <c r="P131" s="95"/>
      <c r="Q131" s="95"/>
      <c r="R131" s="95"/>
      <c r="S131" s="95"/>
      <c r="T131" s="95"/>
      <c r="U131" s="95"/>
      <c r="V131" s="95"/>
      <c r="W131" s="95"/>
      <c r="X131" s="95"/>
      <c r="Y131" s="95"/>
      <c r="Z131" s="95"/>
    </row>
    <row r="132" ht="15.75" customHeight="1" spans="1:26">
      <c r="A132" s="95" t="str">
        <f>dados_01!A132</f>
        <v>13/05/2026 09:51:31</v>
      </c>
      <c r="B132" s="95" t="str">
        <f>dados_01!B132</f>
        <v>27</v>
      </c>
      <c r="C132" s="95" t="str">
        <f>IFERROR(__xludf.DUMMYFUNCTION("JOIN("". "", ARRAYFORMULA(IFERROR(LEFT(SPLIT(dados_01!C132, "" ""), 1))))"),"A. T. M. D. N")</f>
        <v>A. T. M. D. N</v>
      </c>
      <c r="D132" s="95" t="str">
        <f>dados_01!D132</f>
        <v>23/02/2023</v>
      </c>
      <c r="E132" s="95" t="str">
        <f>CONCATENATE(LEFT(dados_01!E132,3),REPT("*",6),RIGHT(dados_01!E132,2))</f>
        <v>608******29</v>
      </c>
      <c r="F132" s="95" t="str">
        <f>dados_01!F132</f>
        <v>INFANTIL 3</v>
      </c>
      <c r="G132" s="95" t="str">
        <f>dados_01!G132</f>
        <v>CEMEI PROFESSORA LINDOMAR DOMINGOS DA SILVA ANJOS</v>
      </c>
      <c r="H132" s="95" t="str">
        <f>dados_01!H132</f>
        <v>REGIONAL 5</v>
      </c>
      <c r="I132" s="95">
        <f>dados_01!I132</f>
        <v>0</v>
      </c>
      <c r="J132" s="95"/>
      <c r="K132" s="95"/>
      <c r="L132" s="95"/>
      <c r="M132" s="95"/>
      <c r="N132" s="95"/>
      <c r="O132" s="95"/>
      <c r="P132" s="95"/>
      <c r="Q132" s="95"/>
      <c r="R132" s="95"/>
      <c r="S132" s="95"/>
      <c r="T132" s="95"/>
      <c r="U132" s="95"/>
      <c r="V132" s="95"/>
      <c r="W132" s="95"/>
      <c r="X132" s="95"/>
      <c r="Y132" s="95"/>
      <c r="Z132" s="95"/>
    </row>
    <row r="133" ht="15.75" customHeight="1" spans="1:26">
      <c r="A133" s="95" t="str">
        <f>dados_01!A133</f>
        <v>23/05/2026 20:29:57</v>
      </c>
      <c r="B133" s="95" t="str">
        <f>dados_01!B133</f>
        <v>28</v>
      </c>
      <c r="C133" s="95" t="str">
        <f>IFERROR(__xludf.DUMMYFUNCTION("JOIN("". "", ARRAYFORMULA(IFERROR(LEFT(SPLIT(dados_01!C133, "" ""), 1))))"),"H. M. A. T. M")</f>
        <v>H. M. A. T. M</v>
      </c>
      <c r="D133" s="95" t="str">
        <f>dados_01!D133</f>
        <v>03/11/2022</v>
      </c>
      <c r="E133" s="95" t="str">
        <f>CONCATENATE(LEFT(dados_01!E133,3),REPT("*",6),RIGHT(dados_01!E133,2))</f>
        <v>183******40</v>
      </c>
      <c r="F133" s="95" t="str">
        <f>dados_01!F133</f>
        <v>INFANTIL 3</v>
      </c>
      <c r="G133" s="95" t="str">
        <f>dados_01!G133</f>
        <v>CEMEI PROFESSORA LINDOMAR DOMINGOS DA SILVA ANJOS</v>
      </c>
      <c r="H133" s="95" t="str">
        <f>dados_01!H133</f>
        <v>REGIONAL 5</v>
      </c>
      <c r="I133" s="95">
        <f>dados_01!I133</f>
        <v>0</v>
      </c>
      <c r="J133" s="95"/>
      <c r="K133" s="95"/>
      <c r="L133" s="95"/>
      <c r="M133" s="95"/>
      <c r="N133" s="95"/>
      <c r="O133" s="95"/>
      <c r="P133" s="95"/>
      <c r="Q133" s="95"/>
      <c r="R133" s="95"/>
      <c r="S133" s="95"/>
      <c r="T133" s="95"/>
      <c r="U133" s="95"/>
      <c r="V133" s="95"/>
      <c r="W133" s="95"/>
      <c r="X133" s="95"/>
      <c r="Y133" s="95"/>
      <c r="Z133" s="95"/>
    </row>
    <row r="134" ht="15.75" customHeight="1" spans="1:26">
      <c r="A134" s="95" t="str">
        <f>dados_01!A134</f>
        <v>01/06/2026 08:29:45</v>
      </c>
      <c r="B134" s="95" t="str">
        <f>dados_01!B134</f>
        <v>29</v>
      </c>
      <c r="C134" s="95" t="str">
        <f>IFERROR(__xludf.DUMMYFUNCTION("JOIN("". "", ARRAYFORMULA(IFERROR(LEFT(SPLIT(dados_01!C134, "" ""), 1))))"),"B. D. D. A")</f>
        <v>B. D. D. A</v>
      </c>
      <c r="D134" s="95" t="str">
        <f>dados_01!D134</f>
        <v>29/07/2022</v>
      </c>
      <c r="E134" s="95" t="str">
        <f>CONCATENATE(LEFT(dados_01!E134,3),REPT("*",6),RIGHT(dados_01!E134,2))</f>
        <v>182******60</v>
      </c>
      <c r="F134" s="95" t="str">
        <f>dados_01!F134</f>
        <v>INFANTIL 3</v>
      </c>
      <c r="G134" s="95" t="str">
        <f>dados_01!G134</f>
        <v>CEMEI PROFESSORA LINDOMAR DOMINGOS DA SILVA ANJOS</v>
      </c>
      <c r="H134" s="95" t="str">
        <f>dados_01!H134</f>
        <v>REGIONAL 5</v>
      </c>
      <c r="I134" s="95">
        <f>dados_01!I134</f>
        <v>0</v>
      </c>
      <c r="J134" s="95"/>
      <c r="K134" s="95"/>
      <c r="L134" s="95"/>
      <c r="M134" s="95"/>
      <c r="N134" s="95"/>
      <c r="O134" s="95"/>
      <c r="P134" s="95"/>
      <c r="Q134" s="95"/>
      <c r="R134" s="95"/>
      <c r="S134" s="95"/>
      <c r="T134" s="95"/>
      <c r="U134" s="95"/>
      <c r="V134" s="95"/>
      <c r="W134" s="95"/>
      <c r="X134" s="95"/>
      <c r="Y134" s="95"/>
      <c r="Z134" s="95"/>
    </row>
    <row r="135" ht="15.75" customHeight="1" spans="1:26">
      <c r="A135" s="95" t="str">
        <f>dados_01!A135</f>
        <v>24/02/2026 14:04:38</v>
      </c>
      <c r="B135" s="95" t="str">
        <f>dados_01!B135</f>
        <v>1</v>
      </c>
      <c r="C135" s="95" t="str">
        <f>IFERROR(__xludf.DUMMYFUNCTION("JOIN("". "", ARRAYFORMULA(IFERROR(LEFT(SPLIT(dados_01!C135, "" ""), 1))))"),"J. M. F. D. S")</f>
        <v>J. M. F. D. S</v>
      </c>
      <c r="D135" s="95" t="str">
        <f>dados_01!D135</f>
        <v>01/11/2022</v>
      </c>
      <c r="E135" s="95" t="str">
        <f>CONCATENATE(LEFT(dados_01!E135,3),REPT("*",6),RIGHT(dados_01!E135,2))</f>
        <v>185******30</v>
      </c>
      <c r="F135" s="95" t="str">
        <f>dados_01!F135</f>
        <v>INFANTIL 3</v>
      </c>
      <c r="G135" s="95" t="str">
        <f>dados_01!G135</f>
        <v>CEMEI PROFESSORA MARLUCIA EVANGELISTA DE SOUZA</v>
      </c>
      <c r="H135" s="95" t="str">
        <f>dados_01!H135</f>
        <v>REGIONAL 6</v>
      </c>
      <c r="I135" s="95">
        <f>dados_01!I135</f>
        <v>0</v>
      </c>
      <c r="J135" s="95"/>
      <c r="K135" s="95"/>
      <c r="L135" s="95"/>
      <c r="M135" s="95"/>
      <c r="N135" s="95"/>
      <c r="O135" s="95"/>
      <c r="P135" s="95"/>
      <c r="Q135" s="95"/>
      <c r="R135" s="95"/>
      <c r="S135" s="95"/>
      <c r="T135" s="95"/>
      <c r="U135" s="95"/>
      <c r="V135" s="95"/>
      <c r="W135" s="95"/>
      <c r="X135" s="95"/>
      <c r="Y135" s="95"/>
      <c r="Z135" s="95"/>
    </row>
    <row r="136" ht="15.75" customHeight="1" spans="1:26">
      <c r="A136" s="95" t="str">
        <f>dados_01!A136</f>
        <v>26/03/2026 11:14:13</v>
      </c>
      <c r="B136" s="95" t="str">
        <f>dados_01!B136</f>
        <v>2</v>
      </c>
      <c r="C136" s="95" t="str">
        <f>IFERROR(__xludf.DUMMYFUNCTION("JOIN("". "", ARRAYFORMULA(IFERROR(LEFT(SPLIT(dados_01!C136, "" ""), 1))))"),"E. G. M. D. N")</f>
        <v>E. G. M. D. N</v>
      </c>
      <c r="D136" s="95" t="str">
        <f>dados_01!D136</f>
        <v>19/11/2022</v>
      </c>
      <c r="E136" s="95" t="str">
        <f>CONCATENATE(LEFT(dados_01!E136,3),REPT("*",6),RIGHT(dados_01!E136,2))</f>
        <v>183******10</v>
      </c>
      <c r="F136" s="95" t="str">
        <f>dados_01!F136</f>
        <v>INFANTIL 3</v>
      </c>
      <c r="G136" s="95" t="str">
        <f>dados_01!G136</f>
        <v>CEMEI PROFESSORA MARLUCIA EVANGELISTA DE SOUZA</v>
      </c>
      <c r="H136" s="95" t="str">
        <f>dados_01!H136</f>
        <v>REGIONAL 6</v>
      </c>
      <c r="I136" s="95">
        <f>dados_01!I136</f>
        <v>0</v>
      </c>
      <c r="J136" s="95"/>
      <c r="K136" s="95"/>
      <c r="L136" s="95"/>
      <c r="M136" s="95"/>
      <c r="N136" s="95"/>
      <c r="O136" s="95"/>
      <c r="P136" s="95"/>
      <c r="Q136" s="95"/>
      <c r="R136" s="95"/>
      <c r="S136" s="95"/>
      <c r="T136" s="95"/>
      <c r="U136" s="95"/>
      <c r="V136" s="95"/>
      <c r="W136" s="95"/>
      <c r="X136" s="95"/>
      <c r="Y136" s="95"/>
      <c r="Z136" s="95"/>
    </row>
    <row r="137" ht="15.75" customHeight="1" spans="1:26">
      <c r="A137" s="95" t="str">
        <f>dados_01!A137</f>
        <v>27/03/2026 08:54:52</v>
      </c>
      <c r="B137" s="95" t="str">
        <f>dados_01!B137</f>
        <v>3</v>
      </c>
      <c r="C137" s="95" t="str">
        <f>IFERROR(__xludf.DUMMYFUNCTION("JOIN("". "", ARRAYFORMULA(IFERROR(LEFT(SPLIT(dados_01!C137, "" ""), 1))))"),"M. H. D. S. L")</f>
        <v>M. H. D. S. L</v>
      </c>
      <c r="D137" s="95" t="str">
        <f>dados_01!D137</f>
        <v>11/05/2022</v>
      </c>
      <c r="E137" s="95" t="str">
        <f>CONCATENATE(LEFT(dados_01!E137,3),REPT("*",6),RIGHT(dados_01!E137,2))</f>
        <v>183******63</v>
      </c>
      <c r="F137" s="95" t="str">
        <f>dados_01!F137</f>
        <v>INFANTIL 3</v>
      </c>
      <c r="G137" s="95" t="str">
        <f>dados_01!G137</f>
        <v>CEMEI PROFESSORA MARLUCIA EVANGELISTA DE SOUZA</v>
      </c>
      <c r="H137" s="95" t="str">
        <f>dados_01!H137</f>
        <v>REGIONAL 6</v>
      </c>
      <c r="I137" s="95">
        <f>dados_01!I137</f>
        <v>0</v>
      </c>
      <c r="J137" s="95"/>
      <c r="K137" s="95"/>
      <c r="L137" s="95"/>
      <c r="M137" s="95"/>
      <c r="N137" s="95"/>
      <c r="O137" s="95"/>
      <c r="P137" s="95"/>
      <c r="Q137" s="95"/>
      <c r="R137" s="95"/>
      <c r="S137" s="95"/>
      <c r="T137" s="95"/>
      <c r="U137" s="95"/>
      <c r="V137" s="95"/>
      <c r="W137" s="95"/>
      <c r="X137" s="95"/>
      <c r="Y137" s="95"/>
      <c r="Z137" s="95"/>
    </row>
    <row r="138" ht="15.75" customHeight="1" spans="1:26">
      <c r="A138" s="95" t="str">
        <f>dados_01!A138</f>
        <v>31/03/2026 08:33:16</v>
      </c>
      <c r="B138" s="95" t="str">
        <f>dados_01!B138</f>
        <v>1</v>
      </c>
      <c r="C138" s="95" t="str">
        <f>IFERROR(__xludf.DUMMYFUNCTION("JOIN("". "", ARRAYFORMULA(IFERROR(LEFT(SPLIT(dados_01!C138, "" ""), 1))))"),"A. G. B. D. N")</f>
        <v>A. G. B. D. N</v>
      </c>
      <c r="D138" s="95" t="str">
        <f>dados_01!D138</f>
        <v>03/02/2023</v>
      </c>
      <c r="E138" s="95" t="str">
        <f>CONCATENATE(LEFT(dados_01!E138,3),REPT("*",6),RIGHT(dados_01!E138,2))</f>
        <v>184******02</v>
      </c>
      <c r="F138" s="95" t="str">
        <f>dados_01!F138</f>
        <v>INFANTIL 3</v>
      </c>
      <c r="G138" s="95" t="str">
        <f>dados_01!G138</f>
        <v>CEMEI PROFESSORA MARLUCIA EVANGELISTA DE SOUZA</v>
      </c>
      <c r="H138" s="95" t="str">
        <f>dados_01!H138</f>
        <v>REGIONAL 6</v>
      </c>
      <c r="I138" s="95">
        <f>dados_01!I138</f>
        <v>0</v>
      </c>
      <c r="J138" s="95"/>
      <c r="K138" s="95"/>
      <c r="L138" s="95"/>
      <c r="M138" s="95"/>
      <c r="N138" s="95"/>
      <c r="O138" s="95"/>
      <c r="P138" s="95"/>
      <c r="Q138" s="95"/>
      <c r="R138" s="95"/>
      <c r="S138" s="95"/>
      <c r="T138" s="95"/>
      <c r="U138" s="95"/>
      <c r="V138" s="95"/>
      <c r="W138" s="95"/>
      <c r="X138" s="95"/>
      <c r="Y138" s="95"/>
      <c r="Z138" s="95"/>
    </row>
    <row r="139" ht="15.75" customHeight="1" spans="1:26">
      <c r="A139" s="95" t="str">
        <f>dados_01!A139</f>
        <v>17/03/2026 11:53:45</v>
      </c>
      <c r="B139" s="95" t="str">
        <f>dados_01!B139</f>
        <v>1</v>
      </c>
      <c r="C139" s="95" t="str">
        <f>IFERROR(__xludf.DUMMYFUNCTION("JOIN("". "", ARRAYFORMULA(IFERROR(LEFT(SPLIT(dados_01!C139, "" ""), 1))))"),"S. B. D. S")</f>
        <v>S. B. D. S</v>
      </c>
      <c r="D139" s="95" t="str">
        <f>dados_01!D139</f>
        <v>09/04/2025</v>
      </c>
      <c r="E139" s="95" t="str">
        <f>CONCATENATE(LEFT(dados_01!E139,3),REPT("*",6),RIGHT(dados_01!E139,2))</f>
        <v>005******50</v>
      </c>
      <c r="F139" s="95" t="str">
        <f>dados_01!F139</f>
        <v>INFANTIL 1</v>
      </c>
      <c r="G139" s="95" t="str">
        <f>dados_01!G139</f>
        <v>CEMEI PROFESSORA RAKELLY NOGUEIRA DO NASCIMENTO</v>
      </c>
      <c r="H139" s="95" t="str">
        <f>dados_01!H139</f>
        <v>REGIONAL 6</v>
      </c>
      <c r="I139" s="95">
        <f>dados_01!I139</f>
        <v>0</v>
      </c>
      <c r="J139" s="95"/>
      <c r="K139" s="95"/>
      <c r="L139" s="95"/>
      <c r="M139" s="95"/>
      <c r="N139" s="95"/>
      <c r="O139" s="95"/>
      <c r="P139" s="95"/>
      <c r="Q139" s="95"/>
      <c r="R139" s="95"/>
      <c r="S139" s="95"/>
      <c r="T139" s="95"/>
      <c r="U139" s="95"/>
      <c r="V139" s="95"/>
      <c r="W139" s="95"/>
      <c r="X139" s="95"/>
      <c r="Y139" s="95"/>
      <c r="Z139" s="95"/>
    </row>
    <row r="140" ht="15.75" customHeight="1" spans="1:26">
      <c r="A140" s="95" t="str">
        <f>dados_01!A140</f>
        <v>22/05/2026 09:50:12</v>
      </c>
      <c r="B140" s="95" t="str">
        <f>dados_01!B140</f>
        <v>2</v>
      </c>
      <c r="C140" s="95" t="str">
        <f>IFERROR(__xludf.DUMMYFUNCTION("JOIN("". "", ARRAYFORMULA(IFERROR(LEFT(SPLIT(dados_01!C140, "" ""), 1))))"),"T. V. G. d. S")</f>
        <v>T. V. G. d. S</v>
      </c>
      <c r="D140" s="95" t="str">
        <f>dados_01!D140</f>
        <v>28/06/2025</v>
      </c>
      <c r="E140" s="95" t="str">
        <f>CONCATENATE(LEFT(dados_01!E140,3),REPT("*",6),RIGHT(dados_01!E140,2))</f>
        <v>006******61</v>
      </c>
      <c r="F140" s="95" t="str">
        <f>dados_01!F140</f>
        <v>INFANTIL 1</v>
      </c>
      <c r="G140" s="95" t="str">
        <f>dados_01!G140</f>
        <v>CEMEI PROFESSORA RAKELLY NOGUEIRA DO NASCIMENTO</v>
      </c>
      <c r="H140" s="95" t="str">
        <f>dados_01!H140</f>
        <v>REGIONAL 6</v>
      </c>
      <c r="I140" s="95">
        <f>dados_01!I140</f>
        <v>0</v>
      </c>
      <c r="J140" s="95"/>
      <c r="K140" s="95"/>
      <c r="L140" s="95"/>
      <c r="M140" s="95"/>
      <c r="N140" s="95"/>
      <c r="O140" s="95"/>
      <c r="P140" s="95"/>
      <c r="Q140" s="95"/>
      <c r="R140" s="95"/>
      <c r="S140" s="95"/>
      <c r="T140" s="95"/>
      <c r="U140" s="95"/>
      <c r="V140" s="95"/>
      <c r="W140" s="95"/>
      <c r="X140" s="95"/>
      <c r="Y140" s="95"/>
      <c r="Z140" s="95"/>
    </row>
    <row r="141" ht="15.75" customHeight="1" spans="1:26">
      <c r="A141" s="95" t="str">
        <f>dados_01!A141</f>
        <v>24/03/2026 08:53:08</v>
      </c>
      <c r="B141" s="95" t="str">
        <f>dados_01!B141</f>
        <v>1</v>
      </c>
      <c r="C141" s="95" t="str">
        <f>IFERROR(__xludf.DUMMYFUNCTION("JOIN("". "", ARRAYFORMULA(IFERROR(LEFT(SPLIT(dados_01!C141, "" ""), 1))))"),"A. R. S. V. D. S")</f>
        <v>A. R. S. V. D. S</v>
      </c>
      <c r="D141" s="95" t="str">
        <f>dados_01!D141</f>
        <v>04/09/2023</v>
      </c>
      <c r="E141" s="95" t="str">
        <f>CONCATENATE(LEFT(dados_01!E141,3),REPT("*",6),RIGHT(dados_01!E141,2))</f>
        <v>003******33</v>
      </c>
      <c r="F141" s="95" t="str">
        <f>dados_01!F141</f>
        <v>INFANTIL 2</v>
      </c>
      <c r="G141" s="95" t="str">
        <f>dados_01!G141</f>
        <v>CEMEI PROFESSORA RAKELLY NOGUEIRA DO NASCIMENTO</v>
      </c>
      <c r="H141" s="95" t="str">
        <f>dados_01!H141</f>
        <v>REGIONAL 6</v>
      </c>
      <c r="I141" s="95">
        <f>dados_01!I141</f>
        <v>0</v>
      </c>
      <c r="J141" s="95"/>
      <c r="K141" s="95"/>
      <c r="L141" s="95"/>
      <c r="M141" s="95"/>
      <c r="N141" s="95"/>
      <c r="O141" s="95"/>
      <c r="P141" s="95"/>
      <c r="Q141" s="95"/>
      <c r="R141" s="95"/>
      <c r="S141" s="95"/>
      <c r="T141" s="95"/>
      <c r="U141" s="95"/>
      <c r="V141" s="95"/>
      <c r="W141" s="95"/>
      <c r="X141" s="95"/>
      <c r="Y141" s="95"/>
      <c r="Z141" s="95"/>
    </row>
    <row r="142" ht="15.75" customHeight="1" spans="1:26">
      <c r="A142" s="95" t="str">
        <f>dados_01!A142</f>
        <v>13/05/2026 07:38:50</v>
      </c>
      <c r="B142" s="95" t="str">
        <f>dados_01!B142</f>
        <v>2</v>
      </c>
      <c r="C142" s="95" t="str">
        <f>IFERROR(__xludf.DUMMYFUNCTION("JOIN("". "", ARRAYFORMULA(IFERROR(LEFT(SPLIT(dados_01!C142, "" ""), 1))))"),"A. G. R. D. O")</f>
        <v>A. G. R. D. O</v>
      </c>
      <c r="D142" s="95" t="str">
        <f>dados_01!D142</f>
        <v>07/07/2023</v>
      </c>
      <c r="E142" s="95" t="str">
        <f>CONCATENATE(LEFT(dados_01!E142,3),REPT("*",6),RIGHT(dados_01!E142,2))</f>
        <v>185******25</v>
      </c>
      <c r="F142" s="95" t="str">
        <f>dados_01!F142</f>
        <v>INFANTIL 2</v>
      </c>
      <c r="G142" s="95" t="str">
        <f>dados_01!G142</f>
        <v>CEMEI PROFESSORA RAKELLY NOGUEIRA DO NASCIMENTO</v>
      </c>
      <c r="H142" s="95" t="str">
        <f>dados_01!H142</f>
        <v>REGIONAL 6</v>
      </c>
      <c r="I142" s="95">
        <f>dados_01!I142</f>
        <v>0</v>
      </c>
      <c r="J142" s="95"/>
      <c r="K142" s="95"/>
      <c r="L142" s="95"/>
      <c r="M142" s="95"/>
      <c r="N142" s="95"/>
      <c r="O142" s="95"/>
      <c r="P142" s="95"/>
      <c r="Q142" s="95"/>
      <c r="R142" s="95"/>
      <c r="S142" s="95"/>
      <c r="T142" s="95"/>
      <c r="U142" s="95"/>
      <c r="V142" s="95"/>
      <c r="W142" s="95"/>
      <c r="X142" s="95"/>
      <c r="Y142" s="95"/>
      <c r="Z142" s="95"/>
    </row>
    <row r="143" ht="15.75" customHeight="1" spans="1:26">
      <c r="A143" s="95" t="str">
        <f>dados_01!A143</f>
        <v>02/02/2026 15:26:58</v>
      </c>
      <c r="B143" s="95" t="str">
        <f>dados_01!B143</f>
        <v>1</v>
      </c>
      <c r="C143" s="95" t="str">
        <f>IFERROR(__xludf.DUMMYFUNCTION("JOIN("". "", ARRAYFORMULA(IFERROR(LEFT(SPLIT(dados_01!C143, "" ""), 1))))"),"D. L. D. A")</f>
        <v>D. L. D. A</v>
      </c>
      <c r="D143" s="95" t="str">
        <f>dados_01!D143</f>
        <v>14/05/2022</v>
      </c>
      <c r="E143" s="95" t="str">
        <f>CONCATENATE(LEFT(dados_01!E143,3),REPT("*",6),RIGHT(dados_01!E143,2))</f>
        <v>181******32</v>
      </c>
      <c r="F143" s="95" t="str">
        <f>dados_01!F143</f>
        <v>INFANTIL 3</v>
      </c>
      <c r="G143" s="95" t="str">
        <f>dados_01!G143</f>
        <v>CEMEI SANTO AMARO</v>
      </c>
      <c r="H143" s="95" t="str">
        <f>dados_01!H143</f>
        <v>REGIONAL 1</v>
      </c>
      <c r="I143" s="95">
        <f>dados_01!I143</f>
        <v>0</v>
      </c>
      <c r="J143" s="95"/>
      <c r="K143" s="95"/>
      <c r="L143" s="95"/>
      <c r="M143" s="95"/>
      <c r="N143" s="95"/>
      <c r="O143" s="95"/>
      <c r="P143" s="95"/>
      <c r="Q143" s="95"/>
      <c r="R143" s="95"/>
      <c r="S143" s="95"/>
      <c r="T143" s="95"/>
      <c r="U143" s="95"/>
      <c r="V143" s="95"/>
      <c r="W143" s="95"/>
      <c r="X143" s="95"/>
      <c r="Y143" s="95"/>
      <c r="Z143" s="95"/>
    </row>
    <row r="144" ht="15.75" customHeight="1" spans="1:26">
      <c r="A144" s="95" t="str">
        <f>dados_01!A144</f>
        <v>10/02/2026 08:09:45</v>
      </c>
      <c r="B144" s="95" t="str">
        <f>dados_01!B144</f>
        <v>2</v>
      </c>
      <c r="C144" s="95" t="str">
        <f>IFERROR(__xludf.DUMMYFUNCTION("JOIN("". "", ARRAYFORMULA(IFERROR(LEFT(SPLIT(dados_01!C144, "" ""), 1))))"),"E. S. F. D. S")</f>
        <v>E. S. F. D. S</v>
      </c>
      <c r="D144" s="95" t="str">
        <f>dados_01!D144</f>
        <v>16/05/2022</v>
      </c>
      <c r="E144" s="95" t="str">
        <f>CONCATENATE(LEFT(dados_01!E144,3),REPT("*",6),RIGHT(dados_01!E144,2))</f>
        <v>181******13</v>
      </c>
      <c r="F144" s="95" t="str">
        <f>dados_01!F144</f>
        <v>INFANTIL 3</v>
      </c>
      <c r="G144" s="95" t="str">
        <f>dados_01!G144</f>
        <v>CEMEI SANTO AMARO</v>
      </c>
      <c r="H144" s="95" t="str">
        <f>dados_01!H144</f>
        <v>REGIONAL 1</v>
      </c>
      <c r="I144" s="95">
        <f>dados_01!I144</f>
        <v>0</v>
      </c>
      <c r="J144" s="95"/>
      <c r="K144" s="95"/>
      <c r="L144" s="95"/>
      <c r="M144" s="95"/>
      <c r="N144" s="95"/>
      <c r="O144" s="95"/>
      <c r="P144" s="95"/>
      <c r="Q144" s="95"/>
      <c r="R144" s="95"/>
      <c r="S144" s="95"/>
      <c r="T144" s="95"/>
      <c r="U144" s="95"/>
      <c r="V144" s="95"/>
      <c r="W144" s="95"/>
      <c r="X144" s="95"/>
      <c r="Y144" s="95"/>
      <c r="Z144" s="95"/>
    </row>
    <row r="145" ht="15.75" customHeight="1" spans="1:26">
      <c r="A145" s="95" t="str">
        <f>dados_01!A145</f>
        <v>24/02/2026 18:34:28</v>
      </c>
      <c r="B145" s="95" t="str">
        <f>dados_01!B145</f>
        <v>3</v>
      </c>
      <c r="C145" s="95" t="str">
        <f>IFERROR(__xludf.DUMMYFUNCTION("JOIN("". "", ARRAYFORMULA(IFERROR(LEFT(SPLIT(dados_01!C145, "" ""), 1))))"),"T. F. L. D. S")</f>
        <v>T. F. L. D. S</v>
      </c>
      <c r="D145" s="95" t="str">
        <f>dados_01!D145</f>
        <v>12/04/2022</v>
      </c>
      <c r="E145" s="95" t="str">
        <f>CONCATENATE(LEFT(dados_01!E145,3),REPT("*",6),RIGHT(dados_01!E145,2))</f>
        <v>181******81</v>
      </c>
      <c r="F145" s="95" t="str">
        <f>dados_01!F145</f>
        <v>INFANTIL 3</v>
      </c>
      <c r="G145" s="95" t="str">
        <f>dados_01!G145</f>
        <v>CEMEI SANTO AMARO</v>
      </c>
      <c r="H145" s="95" t="str">
        <f>dados_01!H145</f>
        <v>REGIONAL 1</v>
      </c>
      <c r="I145" s="95">
        <f>dados_01!I145</f>
        <v>0</v>
      </c>
      <c r="J145" s="95"/>
      <c r="K145" s="95"/>
      <c r="L145" s="95"/>
      <c r="M145" s="95"/>
      <c r="N145" s="95"/>
      <c r="O145" s="95"/>
      <c r="P145" s="95"/>
      <c r="Q145" s="95"/>
      <c r="R145" s="95"/>
      <c r="S145" s="95"/>
      <c r="T145" s="95"/>
      <c r="U145" s="95"/>
      <c r="V145" s="95"/>
      <c r="W145" s="95"/>
      <c r="X145" s="95"/>
      <c r="Y145" s="95"/>
      <c r="Z145" s="95"/>
    </row>
    <row r="146" ht="15.75" customHeight="1" spans="1:26">
      <c r="A146" s="95" t="str">
        <f>dados_01!A146</f>
        <v>28/01/2026 10:34:12</v>
      </c>
      <c r="B146" s="95" t="str">
        <f>dados_01!B146</f>
        <v>1</v>
      </c>
      <c r="C146" s="95" t="str">
        <f>IFERROR(__xludf.DUMMYFUNCTION("JOIN("". "", ARRAYFORMULA(IFERROR(LEFT(SPLIT(dados_01!C146, "" ""), 1))))"),"S. L")</f>
        <v>S. L</v>
      </c>
      <c r="D146" s="95" t="str">
        <f>dados_01!D146</f>
        <v>30/08/2022</v>
      </c>
      <c r="E146" s="95" t="str">
        <f>CONCATENATE(LEFT(dados_01!E146,3),REPT("*",6),RIGHT(dados_01!E146,2))</f>
        <v>183******56</v>
      </c>
      <c r="F146" s="95" t="str">
        <f>dados_01!F146</f>
        <v>INFANTIL 3</v>
      </c>
      <c r="G146" s="95" t="str">
        <f>dados_01!G146</f>
        <v>CEMEI SANTO AMARO</v>
      </c>
      <c r="H146" s="95" t="str">
        <f>dados_01!H146</f>
        <v>REGIONAL 1</v>
      </c>
      <c r="I146" s="95">
        <f>dados_01!I146</f>
        <v>0</v>
      </c>
      <c r="J146" s="95"/>
      <c r="K146" s="95"/>
      <c r="L146" s="95"/>
      <c r="M146" s="95"/>
      <c r="N146" s="95"/>
      <c r="O146" s="95"/>
      <c r="P146" s="95"/>
      <c r="Q146" s="95"/>
      <c r="R146" s="95"/>
      <c r="S146" s="95"/>
      <c r="T146" s="95"/>
      <c r="U146" s="95"/>
      <c r="V146" s="95"/>
      <c r="W146" s="95"/>
      <c r="X146" s="95"/>
      <c r="Y146" s="95"/>
      <c r="Z146" s="95"/>
    </row>
    <row r="147" ht="15.75" customHeight="1" spans="1:26">
      <c r="A147" s="95" t="str">
        <f>dados_01!A147</f>
        <v>24/02/2026 13:10:10</v>
      </c>
      <c r="B147" s="95" t="str">
        <f>dados_01!B147</f>
        <v>2</v>
      </c>
      <c r="C147" s="95" t="str">
        <f>IFERROR(__xludf.DUMMYFUNCTION("JOIN("". "", ARRAYFORMULA(IFERROR(LEFT(SPLIT(dados_01!C147, "" ""), 1))))"),"G. G. D. S. R")</f>
        <v>G. G. D. S. R</v>
      </c>
      <c r="D147" s="95" t="str">
        <f>dados_01!D147</f>
        <v>12/12/2022</v>
      </c>
      <c r="E147" s="95" t="str">
        <f>CONCATENATE(LEFT(dados_01!E147,3),REPT("*",6),RIGHT(dados_01!E147,2))</f>
        <v>607******92</v>
      </c>
      <c r="F147" s="95" t="str">
        <f>dados_01!F147</f>
        <v>INFANTIL 3</v>
      </c>
      <c r="G147" s="95" t="str">
        <f>dados_01!G147</f>
        <v>CEMEI SANTO AMARO</v>
      </c>
      <c r="H147" s="95" t="str">
        <f>dados_01!H147</f>
        <v>REGIONAL 1</v>
      </c>
      <c r="I147" s="95">
        <f>dados_01!I147</f>
        <v>0</v>
      </c>
      <c r="J147" s="95"/>
      <c r="K147" s="95"/>
      <c r="L147" s="95"/>
      <c r="M147" s="95"/>
      <c r="N147" s="95"/>
      <c r="O147" s="95"/>
      <c r="P147" s="95"/>
      <c r="Q147" s="95"/>
      <c r="R147" s="95"/>
      <c r="S147" s="95"/>
      <c r="T147" s="95"/>
      <c r="U147" s="95"/>
      <c r="V147" s="95"/>
      <c r="W147" s="95"/>
      <c r="X147" s="95"/>
      <c r="Y147" s="95"/>
      <c r="Z147" s="95"/>
    </row>
    <row r="148" ht="15.75" customHeight="1" spans="1:26">
      <c r="A148" s="95" t="str">
        <f>dados_01!A148</f>
        <v>13/05/2026 19:48:23</v>
      </c>
      <c r="B148" s="95" t="str">
        <f>dados_01!B148</f>
        <v>3</v>
      </c>
      <c r="C148" s="95" t="str">
        <f>IFERROR(__xludf.DUMMYFUNCTION("JOIN("". "", ARRAYFORMULA(IFERROR(LEFT(SPLIT(dados_01!C148, "" ""), 1))))"),"H. V. S. R")</f>
        <v>H. V. S. R</v>
      </c>
      <c r="D148" s="95" t="str">
        <f>dados_01!D148</f>
        <v>09/06/2022</v>
      </c>
      <c r="E148" s="95" t="str">
        <f>CONCATENATE(LEFT(dados_01!E148,3),REPT("*",6),RIGHT(dados_01!E148,2))</f>
        <v>181******04</v>
      </c>
      <c r="F148" s="95" t="str">
        <f>dados_01!F148</f>
        <v>INFANTIL 3</v>
      </c>
      <c r="G148" s="95" t="str">
        <f>dados_01!G148</f>
        <v>CEMEI SANTO AMARO</v>
      </c>
      <c r="H148" s="95" t="str">
        <f>dados_01!H148</f>
        <v>REGIONAL 1</v>
      </c>
      <c r="I148" s="95">
        <f>dados_01!I148</f>
        <v>0</v>
      </c>
      <c r="J148" s="95"/>
      <c r="K148" s="95"/>
      <c r="L148" s="95"/>
      <c r="M148" s="95"/>
      <c r="N148" s="95"/>
      <c r="O148" s="95"/>
      <c r="P148" s="95"/>
      <c r="Q148" s="95"/>
      <c r="R148" s="95"/>
      <c r="S148" s="95"/>
      <c r="T148" s="95"/>
      <c r="U148" s="95"/>
      <c r="V148" s="95"/>
      <c r="W148" s="95"/>
      <c r="X148" s="95"/>
      <c r="Y148" s="95"/>
      <c r="Z148" s="95"/>
    </row>
    <row r="149" ht="15.75" customHeight="1" spans="1:26">
      <c r="A149" s="95" t="str">
        <f>dados_01!A149</f>
        <v>20/05/2026 10:33:36</v>
      </c>
      <c r="B149" s="95" t="str">
        <f>dados_01!B149</f>
        <v>4</v>
      </c>
      <c r="C149" s="95" t="str">
        <f>IFERROR(__xludf.DUMMYFUNCTION("JOIN("". "", ARRAYFORMULA(IFERROR(LEFT(SPLIT(dados_01!C149, "" ""), 1))))"),"B. C. D. I. G")</f>
        <v>B. C. D. I. G</v>
      </c>
      <c r="D149" s="95" t="str">
        <f>dados_01!D149</f>
        <v>02/11/2022</v>
      </c>
      <c r="E149" s="95" t="str">
        <f>CONCATENATE(LEFT(dados_01!E149,3),REPT("*",6),RIGHT(dados_01!E149,2))</f>
        <v>183******74</v>
      </c>
      <c r="F149" s="95" t="str">
        <f>dados_01!F149</f>
        <v>INFANTIL 3</v>
      </c>
      <c r="G149" s="95" t="str">
        <f>dados_01!G149</f>
        <v>CEMEI SANTO AMARO</v>
      </c>
      <c r="H149" s="95" t="str">
        <f>dados_01!H149</f>
        <v>REGIONAL 1</v>
      </c>
      <c r="I149" s="95">
        <f>dados_01!I149</f>
        <v>0</v>
      </c>
      <c r="J149" s="95"/>
      <c r="K149" s="95"/>
      <c r="L149" s="95"/>
      <c r="M149" s="95"/>
      <c r="N149" s="95"/>
      <c r="O149" s="95"/>
      <c r="P149" s="95"/>
      <c r="Q149" s="95"/>
      <c r="R149" s="95"/>
      <c r="S149" s="95"/>
      <c r="T149" s="95"/>
      <c r="U149" s="95"/>
      <c r="V149" s="95"/>
      <c r="W149" s="95"/>
      <c r="X149" s="95"/>
      <c r="Y149" s="95"/>
      <c r="Z149" s="95"/>
    </row>
    <row r="150" ht="15.75" customHeight="1" spans="1:26">
      <c r="A150" s="95" t="str">
        <f>dados_01!A150</f>
        <v>25/05/2026 08:40:05</v>
      </c>
      <c r="B150" s="95" t="str">
        <f>dados_01!B150</f>
        <v>5</v>
      </c>
      <c r="C150" s="95" t="str">
        <f>IFERROR(__xludf.DUMMYFUNCTION("JOIN("". "", ARRAYFORMULA(IFERROR(LEFT(SPLIT(dados_01!C150, "" ""), 1))))"),"E. M. d. M. p")</f>
        <v>E. M. d. M. p</v>
      </c>
      <c r="D150" s="95" t="str">
        <f>dados_01!D150</f>
        <v>25/02/2023</v>
      </c>
      <c r="E150" s="95" t="str">
        <f>CONCATENATE(LEFT(dados_01!E150,3),REPT("*",6),RIGHT(dados_01!E150,2))</f>
        <v>184******28</v>
      </c>
      <c r="F150" s="95" t="str">
        <f>dados_01!F150</f>
        <v>INFANTIL 3</v>
      </c>
      <c r="G150" s="95" t="str">
        <f>dados_01!G150</f>
        <v>CEMEI SANTO AMARO</v>
      </c>
      <c r="H150" s="95" t="str">
        <f>dados_01!H150</f>
        <v>REGIONAL 1</v>
      </c>
      <c r="I150" s="95">
        <f>dados_01!I150</f>
        <v>0</v>
      </c>
      <c r="J150" s="95"/>
      <c r="K150" s="95"/>
      <c r="L150" s="95"/>
      <c r="M150" s="95"/>
      <c r="N150" s="95"/>
      <c r="O150" s="95"/>
      <c r="P150" s="95"/>
      <c r="Q150" s="95"/>
      <c r="R150" s="95"/>
      <c r="S150" s="95"/>
      <c r="T150" s="95"/>
      <c r="U150" s="95"/>
      <c r="V150" s="95"/>
      <c r="W150" s="95"/>
      <c r="X150" s="95"/>
      <c r="Y150" s="95"/>
      <c r="Z150" s="95"/>
    </row>
    <row r="151" ht="15.75" customHeight="1" spans="1:26">
      <c r="A151" s="95" t="str">
        <f>dados_01!A151</f>
        <v>28/01/2026 21:43:18</v>
      </c>
      <c r="B151" s="95" t="str">
        <f>dados_01!B151</f>
        <v>1</v>
      </c>
      <c r="C151" s="95" t="str">
        <f>IFERROR(__xludf.DUMMYFUNCTION("JOIN("". "", ARRAYFORMULA(IFERROR(LEFT(SPLIT(dados_01!C151, "" ""), 1))))"),"A. D. D. O. A")</f>
        <v>A. D. D. O. A</v>
      </c>
      <c r="D151" s="95" t="str">
        <f>dados_01!D151</f>
        <v>10/10/2024</v>
      </c>
      <c r="E151" s="95" t="str">
        <f>CONCATENATE(LEFT(dados_01!E151,3),REPT("*",6),RIGHT(dados_01!E151,2))</f>
        <v>005******63</v>
      </c>
      <c r="F151" s="95" t="str">
        <f>dados_01!F151</f>
        <v>INFANTIL 1</v>
      </c>
      <c r="G151" s="95" t="str">
        <f>dados_01!G151</f>
        <v>CEMEI SILVIA MARIA DE OLIVEIRA</v>
      </c>
      <c r="H151" s="95" t="str">
        <f>dados_01!H151</f>
        <v>REGIONAL 5</v>
      </c>
      <c r="I151" s="95">
        <f>dados_01!I151</f>
        <v>0</v>
      </c>
      <c r="J151" s="95"/>
      <c r="K151" s="95"/>
      <c r="L151" s="95"/>
      <c r="M151" s="95"/>
      <c r="N151" s="95"/>
      <c r="O151" s="95"/>
      <c r="P151" s="95"/>
      <c r="Q151" s="95"/>
      <c r="R151" s="95"/>
      <c r="S151" s="95"/>
      <c r="T151" s="95"/>
      <c r="U151" s="95"/>
      <c r="V151" s="95"/>
      <c r="W151" s="95"/>
      <c r="X151" s="95"/>
      <c r="Y151" s="95"/>
      <c r="Z151" s="95"/>
    </row>
    <row r="152" ht="15.75" customHeight="1" spans="1:26">
      <c r="A152" s="95" t="str">
        <f>dados_01!A152</f>
        <v>08/05/2026 18:02:36</v>
      </c>
      <c r="B152" s="95" t="str">
        <f>dados_01!B152</f>
        <v>1</v>
      </c>
      <c r="C152" s="95" t="str">
        <f>IFERROR(__xludf.DUMMYFUNCTION("JOIN("". "", ARRAYFORMULA(IFERROR(LEFT(SPLIT(dados_01!C152, "" ""), 1))))"),"A. G. L. D. S")</f>
        <v>A. G. L. D. S</v>
      </c>
      <c r="D152" s="95" t="str">
        <f>dados_01!D152</f>
        <v>14/03/2024</v>
      </c>
      <c r="E152" s="95" t="str">
        <f>CONCATENATE(LEFT(dados_01!E152,3),REPT("*",6),RIGHT(dados_01!E152,2))</f>
        <v>002******44</v>
      </c>
      <c r="F152" s="95" t="str">
        <f>dados_01!F152</f>
        <v>INFANTIL 2</v>
      </c>
      <c r="G152" s="95" t="str">
        <f>dados_01!G152</f>
        <v>CEMEI SILVIA MARIA DE OLIVEIRA</v>
      </c>
      <c r="H152" s="95" t="str">
        <f>dados_01!H152</f>
        <v>REGIONAL 5</v>
      </c>
      <c r="I152" s="95">
        <f>dados_01!I152</f>
        <v>0</v>
      </c>
      <c r="J152" s="95"/>
      <c r="K152" s="95"/>
      <c r="L152" s="95"/>
      <c r="M152" s="95"/>
      <c r="N152" s="95"/>
      <c r="O152" s="95"/>
      <c r="P152" s="95"/>
      <c r="Q152" s="95"/>
      <c r="R152" s="95"/>
      <c r="S152" s="95"/>
      <c r="T152" s="95"/>
      <c r="U152" s="95"/>
      <c r="V152" s="95"/>
      <c r="W152" s="95"/>
      <c r="X152" s="95"/>
      <c r="Y152" s="95"/>
      <c r="Z152" s="95"/>
    </row>
    <row r="153" ht="15.75" customHeight="1" spans="1:26">
      <c r="A153" s="95" t="str">
        <f>dados_01!A153</f>
        <v>02/03/2026 13:05:13</v>
      </c>
      <c r="B153" s="95" t="str">
        <f>dados_01!B153</f>
        <v>1</v>
      </c>
      <c r="C153" s="95" t="str">
        <f>IFERROR(__xludf.DUMMYFUNCTION("JOIN("". "", ARRAYFORMULA(IFERROR(LEFT(SPLIT(dados_01!C153, "" ""), 1))))"),"A. V. D. S. L")</f>
        <v>A. V. D. S. L</v>
      </c>
      <c r="D153" s="95" t="str">
        <f>dados_01!D153</f>
        <v>15/11/2025</v>
      </c>
      <c r="E153" s="95" t="str">
        <f>CONCATENATE(LEFT(dados_01!E153,3),REPT("*",6),RIGHT(dados_01!E153,2))</f>
        <v>024******00</v>
      </c>
      <c r="F153" s="95" t="str">
        <f>dados_01!F153</f>
        <v>INFANTIL 1</v>
      </c>
      <c r="G153" s="95" t="str">
        <f>dados_01!G153</f>
        <v>CENTRO MUNICIPAL DE EDUCAÇÃO INFANTIL MARCOS FREIRE</v>
      </c>
      <c r="H153" s="95" t="str">
        <f>dados_01!H153</f>
        <v>REGIONAL 4</v>
      </c>
      <c r="I153" s="95">
        <f>dados_01!I153</f>
        <v>0</v>
      </c>
      <c r="J153" s="95"/>
      <c r="K153" s="95"/>
      <c r="L153" s="95"/>
      <c r="M153" s="95"/>
      <c r="N153" s="95"/>
      <c r="O153" s="95"/>
      <c r="P153" s="95"/>
      <c r="Q153" s="95"/>
      <c r="R153" s="95"/>
      <c r="S153" s="95"/>
      <c r="T153" s="95"/>
      <c r="U153" s="95"/>
      <c r="V153" s="95"/>
      <c r="W153" s="95"/>
      <c r="X153" s="95"/>
      <c r="Y153" s="95"/>
      <c r="Z153" s="95"/>
    </row>
    <row r="154" ht="15.75" customHeight="1" spans="1:26">
      <c r="A154" s="95" t="str">
        <f>dados_01!A154</f>
        <v>03/03/2026 09:31:27</v>
      </c>
      <c r="B154" s="95" t="str">
        <f>dados_01!B154</f>
        <v>2</v>
      </c>
      <c r="C154" s="95" t="str">
        <f>IFERROR(__xludf.DUMMYFUNCTION("JOIN("". "", ARRAYFORMULA(IFERROR(LEFT(SPLIT(dados_01!C154, "" ""), 1))))"),"J. K. G. D. N")</f>
        <v>J. K. G. D. N</v>
      </c>
      <c r="D154" s="95" t="str">
        <f>dados_01!D154</f>
        <v>25/07/2024</v>
      </c>
      <c r="E154" s="95" t="str">
        <f>CONCATENATE(LEFT(dados_01!E154,3),REPT("*",6),RIGHT(dados_01!E154,2))</f>
        <v>003******88</v>
      </c>
      <c r="F154" s="95" t="str">
        <f>dados_01!F154</f>
        <v>INFANTIL 1</v>
      </c>
      <c r="G154" s="95" t="str">
        <f>dados_01!G154</f>
        <v>CENTRO MUNICIPAL DE EDUCAÇÃO INFANTIL MARCOS FREIRE</v>
      </c>
      <c r="H154" s="95" t="str">
        <f>dados_01!H154</f>
        <v>REGIONAL 4</v>
      </c>
      <c r="I154" s="95">
        <f>dados_01!I154</f>
        <v>0</v>
      </c>
      <c r="J154" s="95"/>
      <c r="K154" s="95"/>
      <c r="L154" s="95"/>
      <c r="M154" s="95"/>
      <c r="N154" s="95"/>
      <c r="O154" s="95"/>
      <c r="P154" s="95"/>
      <c r="Q154" s="95"/>
      <c r="R154" s="95"/>
      <c r="S154" s="95"/>
      <c r="T154" s="95"/>
      <c r="U154" s="95"/>
      <c r="V154" s="95"/>
      <c r="W154" s="95"/>
      <c r="X154" s="95"/>
      <c r="Y154" s="95"/>
      <c r="Z154" s="95"/>
    </row>
    <row r="155" ht="15.75" customHeight="1" spans="1:26">
      <c r="A155" s="95" t="str">
        <f>dados_01!A155</f>
        <v>11/03/2026 16:45:43</v>
      </c>
      <c r="B155" s="95" t="str">
        <f>dados_01!B155</f>
        <v>3</v>
      </c>
      <c r="C155" s="95" t="str">
        <f>IFERROR(__xludf.DUMMYFUNCTION("JOIN("". "", ARRAYFORMULA(IFERROR(LEFT(SPLIT(dados_01!C155, "" ""), 1))))"),"J. C. D. S")</f>
        <v>J. C. D. S</v>
      </c>
      <c r="D155" s="95" t="str">
        <f>dados_01!D155</f>
        <v>13/08/2025</v>
      </c>
      <c r="E155" s="95" t="str">
        <f>CONCATENATE(LEFT(dados_01!E155,3),REPT("*",6),RIGHT(dados_01!E155,2))</f>
        <v>007******82</v>
      </c>
      <c r="F155" s="95" t="str">
        <f>dados_01!F155</f>
        <v>INFANTIL 1</v>
      </c>
      <c r="G155" s="95" t="str">
        <f>dados_01!G155</f>
        <v>CENTRO MUNICIPAL DE EDUCAÇÃO INFANTIL MARCOS FREIRE</v>
      </c>
      <c r="H155" s="95" t="str">
        <f>dados_01!H155</f>
        <v>REGIONAL 4</v>
      </c>
      <c r="I155" s="95">
        <f>dados_01!I155</f>
        <v>0</v>
      </c>
      <c r="J155" s="95"/>
      <c r="K155" s="95"/>
      <c r="L155" s="95"/>
      <c r="M155" s="95"/>
      <c r="N155" s="95"/>
      <c r="O155" s="95"/>
      <c r="P155" s="95"/>
      <c r="Q155" s="95"/>
      <c r="R155" s="95"/>
      <c r="S155" s="95"/>
      <c r="T155" s="95"/>
      <c r="U155" s="95"/>
      <c r="V155" s="95"/>
      <c r="W155" s="95"/>
      <c r="X155" s="95"/>
      <c r="Y155" s="95"/>
      <c r="Z155" s="95"/>
    </row>
    <row r="156" ht="15.75" customHeight="1" spans="1:26">
      <c r="A156" s="95" t="str">
        <f>dados_01!A156</f>
        <v>12/03/2026 06:29:35</v>
      </c>
      <c r="B156" s="95" t="str">
        <f>dados_01!B156</f>
        <v>4</v>
      </c>
      <c r="C156" s="95" t="str">
        <f>IFERROR(__xludf.DUMMYFUNCTION("JOIN("". "", ARRAYFORMULA(IFERROR(LEFT(SPLIT(dados_01!C156, "" ""), 1))))"),"M. I. A. D. S")</f>
        <v>M. I. A. D. S</v>
      </c>
      <c r="D156" s="95" t="str">
        <f>dados_01!D156</f>
        <v>13/02/2025</v>
      </c>
      <c r="E156" s="95" t="str">
        <f>CONCATENATE(LEFT(dados_01!E156,3),REPT("*",6),RIGHT(dados_01!E156,2))</f>
        <v>005******24</v>
      </c>
      <c r="F156" s="95" t="str">
        <f>dados_01!F156</f>
        <v>INFANTIL 1</v>
      </c>
      <c r="G156" s="95" t="str">
        <f>dados_01!G156</f>
        <v>CENTRO MUNICIPAL DE EDUCAÇÃO INFANTIL MARCOS FREIRE</v>
      </c>
      <c r="H156" s="95" t="str">
        <f>dados_01!H156</f>
        <v>REGIONAL 4</v>
      </c>
      <c r="I156" s="95">
        <f>dados_01!I156</f>
        <v>0</v>
      </c>
      <c r="J156" s="95"/>
      <c r="K156" s="95"/>
      <c r="L156" s="95"/>
      <c r="M156" s="95"/>
      <c r="N156" s="95"/>
      <c r="O156" s="95"/>
      <c r="P156" s="95"/>
      <c r="Q156" s="95"/>
      <c r="R156" s="95"/>
      <c r="S156" s="95"/>
      <c r="T156" s="95"/>
      <c r="U156" s="95"/>
      <c r="V156" s="95"/>
      <c r="W156" s="95"/>
      <c r="X156" s="95"/>
      <c r="Y156" s="95"/>
      <c r="Z156" s="95"/>
    </row>
    <row r="157" ht="15.75" customHeight="1" spans="1:26">
      <c r="A157" s="95" t="str">
        <f>dados_01!A157</f>
        <v>18/03/2026 11:00:34</v>
      </c>
      <c r="B157" s="95" t="str">
        <f>dados_01!B157</f>
        <v>5</v>
      </c>
      <c r="C157" s="95" t="str">
        <f>IFERROR(__xludf.DUMMYFUNCTION("JOIN("". "", ARRAYFORMULA(IFERROR(LEFT(SPLIT(dados_01!C157, "" ""), 1))))"),"B. C. D. S. C")</f>
        <v>B. C. D. S. C</v>
      </c>
      <c r="D157" s="95" t="str">
        <f>dados_01!D157</f>
        <v>28/05/2025</v>
      </c>
      <c r="E157" s="95" t="str">
        <f>CONCATENATE(LEFT(dados_01!E157,3),REPT("*",6),RIGHT(dados_01!E157,2))</f>
        <v>006******07</v>
      </c>
      <c r="F157" s="95" t="str">
        <f>dados_01!F157</f>
        <v>INFANTIL 1</v>
      </c>
      <c r="G157" s="95" t="str">
        <f>dados_01!G157</f>
        <v>CENTRO MUNICIPAL DE EDUCAÇÃO INFANTIL MARCOS FREIRE</v>
      </c>
      <c r="H157" s="95" t="str">
        <f>dados_01!H157</f>
        <v>REGIONAL 4</v>
      </c>
      <c r="I157" s="95">
        <f>dados_01!I157</f>
        <v>0</v>
      </c>
      <c r="J157" s="95"/>
      <c r="K157" s="95"/>
      <c r="L157" s="95"/>
      <c r="M157" s="95"/>
      <c r="N157" s="95"/>
      <c r="O157" s="95"/>
      <c r="P157" s="95"/>
      <c r="Q157" s="95"/>
      <c r="R157" s="95"/>
      <c r="S157" s="95"/>
      <c r="T157" s="95"/>
      <c r="U157" s="95"/>
      <c r="V157" s="95"/>
      <c r="W157" s="95"/>
      <c r="X157" s="95"/>
      <c r="Y157" s="95"/>
      <c r="Z157" s="95"/>
    </row>
    <row r="158" ht="15.75" customHeight="1" spans="1:26">
      <c r="A158" s="95" t="str">
        <f>dados_01!A158</f>
        <v>23/03/2026 12:20:04</v>
      </c>
      <c r="B158" s="95" t="str">
        <f>dados_01!B158</f>
        <v>6</v>
      </c>
      <c r="C158" s="95" t="str">
        <f>IFERROR(__xludf.DUMMYFUNCTION("JOIN("". "", ARRAYFORMULA(IFERROR(LEFT(SPLIT(dados_01!C158, "" ""), 1))))"),"D. D. S")</f>
        <v>D. D. S</v>
      </c>
      <c r="D158" s="95" t="str">
        <f>dados_01!D158</f>
        <v>09/04/2024</v>
      </c>
      <c r="E158" s="95" t="str">
        <f>CONCATENATE(LEFT(dados_01!E158,3),REPT("*",6),RIGHT(dados_01!E158,2))</f>
        <v>002******29</v>
      </c>
      <c r="F158" s="95" t="str">
        <f>dados_01!F158</f>
        <v>INFANTIL 1</v>
      </c>
      <c r="G158" s="95" t="str">
        <f>dados_01!G158</f>
        <v>CENTRO MUNICIPAL DE EDUCAÇÃO INFANTIL MARCOS FREIRE</v>
      </c>
      <c r="H158" s="95" t="str">
        <f>dados_01!H158</f>
        <v>REGIONAL 4</v>
      </c>
      <c r="I158" s="95">
        <f>dados_01!I158</f>
        <v>0</v>
      </c>
      <c r="J158" s="95"/>
      <c r="K158" s="95"/>
      <c r="L158" s="95"/>
      <c r="M158" s="95"/>
      <c r="N158" s="95"/>
      <c r="O158" s="95"/>
      <c r="P158" s="95"/>
      <c r="Q158" s="95"/>
      <c r="R158" s="95"/>
      <c r="S158" s="95"/>
      <c r="T158" s="95"/>
      <c r="U158" s="95"/>
      <c r="V158" s="95"/>
      <c r="W158" s="95"/>
      <c r="X158" s="95"/>
      <c r="Y158" s="95"/>
      <c r="Z158" s="95"/>
    </row>
    <row r="159" ht="15.75" customHeight="1" spans="1:26">
      <c r="A159" s="95" t="str">
        <f>dados_01!A159</f>
        <v>27/03/2026 14:19:05</v>
      </c>
      <c r="B159" s="95" t="str">
        <f>dados_01!B159</f>
        <v>7</v>
      </c>
      <c r="C159" s="95" t="str">
        <f>IFERROR(__xludf.DUMMYFUNCTION("JOIN("". "", ARRAYFORMULA(IFERROR(LEFT(SPLIT(dados_01!C159, "" ""), 1))))"),"R. L. C. A. D. S")</f>
        <v>R. L. C. A. D. S</v>
      </c>
      <c r="D159" s="95" t="str">
        <f>dados_01!D159</f>
        <v>05/12/2024</v>
      </c>
      <c r="E159" s="95" t="str">
        <f>CONCATENATE(LEFT(dados_01!E159,3),REPT("*",6),RIGHT(dados_01!E159,2))</f>
        <v>004******03</v>
      </c>
      <c r="F159" s="95" t="str">
        <f>dados_01!F159</f>
        <v>INFANTIL 1</v>
      </c>
      <c r="G159" s="95" t="str">
        <f>dados_01!G159</f>
        <v>CENTRO MUNICIPAL DE EDUCAÇÃO INFANTIL MARCOS FREIRE</v>
      </c>
      <c r="H159" s="95" t="str">
        <f>dados_01!H159</f>
        <v>REGIONAL 4</v>
      </c>
      <c r="I159" s="95">
        <f>dados_01!I159</f>
        <v>0</v>
      </c>
      <c r="J159" s="95"/>
      <c r="K159" s="95"/>
      <c r="L159" s="95"/>
      <c r="M159" s="95"/>
      <c r="N159" s="95"/>
      <c r="O159" s="95"/>
      <c r="P159" s="95"/>
      <c r="Q159" s="95"/>
      <c r="R159" s="95"/>
      <c r="S159" s="95"/>
      <c r="T159" s="95"/>
      <c r="U159" s="95"/>
      <c r="V159" s="95"/>
      <c r="W159" s="95"/>
      <c r="X159" s="95"/>
      <c r="Y159" s="95"/>
      <c r="Z159" s="95"/>
    </row>
    <row r="160" ht="15.75" customHeight="1" spans="1:26">
      <c r="A160" s="95" t="str">
        <f>dados_01!A160</f>
        <v>08/04/2026 10:45:14</v>
      </c>
      <c r="B160" s="95" t="str">
        <f>dados_01!B160</f>
        <v>8</v>
      </c>
      <c r="C160" s="95" t="str">
        <f>IFERROR(__xludf.DUMMYFUNCTION("JOIN("". "", ARRAYFORMULA(IFERROR(LEFT(SPLIT(dados_01!C160, "" ""), 1))))"),"T. S. D. L")</f>
        <v>T. S. D. L</v>
      </c>
      <c r="D160" s="95" t="str">
        <f>dados_01!D160</f>
        <v>28/10/2024</v>
      </c>
      <c r="E160" s="95" t="str">
        <f>CONCATENATE(LEFT(dados_01!E160,3),REPT("*",6),RIGHT(dados_01!E160,2))</f>
        <v>004******67</v>
      </c>
      <c r="F160" s="95" t="str">
        <f>dados_01!F160</f>
        <v>INFANTIL 1</v>
      </c>
      <c r="G160" s="95" t="str">
        <f>dados_01!G160</f>
        <v>CENTRO MUNICIPAL DE EDUCAÇÃO INFANTIL MARCOS FREIRE</v>
      </c>
      <c r="H160" s="95" t="str">
        <f>dados_01!H160</f>
        <v>REGIONAL 4</v>
      </c>
      <c r="I160" s="95">
        <f>dados_01!I160</f>
        <v>0</v>
      </c>
      <c r="J160" s="95"/>
      <c r="K160" s="95"/>
      <c r="L160" s="95"/>
      <c r="M160" s="95"/>
      <c r="N160" s="95"/>
      <c r="O160" s="95"/>
      <c r="P160" s="95"/>
      <c r="Q160" s="95"/>
      <c r="R160" s="95"/>
      <c r="S160" s="95"/>
      <c r="T160" s="95"/>
      <c r="U160" s="95"/>
      <c r="V160" s="95"/>
      <c r="W160" s="95"/>
      <c r="X160" s="95"/>
      <c r="Y160" s="95"/>
      <c r="Z160" s="95"/>
    </row>
    <row r="161" ht="15.75" customHeight="1" spans="1:26">
      <c r="A161" s="95" t="str">
        <f>dados_01!A161</f>
        <v>14/04/2026 09:51:21</v>
      </c>
      <c r="B161" s="95" t="str">
        <f>dados_01!B161</f>
        <v>9</v>
      </c>
      <c r="C161" s="95" t="str">
        <f>IFERROR(__xludf.DUMMYFUNCTION("JOIN("". "", ARRAYFORMULA(IFERROR(LEFT(SPLIT(dados_01!C161, "" ""), 1))))"),"M. G. P. D. L")</f>
        <v>M. G. P. D. L</v>
      </c>
      <c r="D161" s="95" t="str">
        <f>dados_01!D161</f>
        <v>25/08/2025</v>
      </c>
      <c r="E161" s="95" t="str">
        <f>CONCATENATE(LEFT(dados_01!E161,3),REPT("*",6),RIGHT(dados_01!E161,2))</f>
        <v>014******83</v>
      </c>
      <c r="F161" s="95" t="str">
        <f>dados_01!F161</f>
        <v>INFANTIL 1</v>
      </c>
      <c r="G161" s="95" t="str">
        <f>dados_01!G161</f>
        <v>CENTRO MUNICIPAL DE EDUCAÇÃO INFANTIL MARCOS FREIRE</v>
      </c>
      <c r="H161" s="95" t="str">
        <f>dados_01!H161</f>
        <v>REGIONAL 4</v>
      </c>
      <c r="I161" s="95">
        <f>dados_01!I161</f>
        <v>0</v>
      </c>
      <c r="J161" s="95"/>
      <c r="K161" s="95"/>
      <c r="L161" s="95"/>
      <c r="M161" s="95"/>
      <c r="N161" s="95"/>
      <c r="O161" s="95"/>
      <c r="P161" s="95"/>
      <c r="Q161" s="95"/>
      <c r="R161" s="95"/>
      <c r="S161" s="95"/>
      <c r="T161" s="95"/>
      <c r="U161" s="95"/>
      <c r="V161" s="95"/>
      <c r="W161" s="95"/>
      <c r="X161" s="95"/>
      <c r="Y161" s="95"/>
      <c r="Z161" s="95"/>
    </row>
    <row r="162" ht="15.75" customHeight="1" spans="1:26">
      <c r="A162" s="95" t="str">
        <f>dados_01!A162</f>
        <v>15/04/2026 16:58:08</v>
      </c>
      <c r="B162" s="95" t="str">
        <f>dados_01!B162</f>
        <v>10</v>
      </c>
      <c r="C162" s="95" t="str">
        <f>IFERROR(__xludf.DUMMYFUNCTION("JOIN("". "", ARRAYFORMULA(IFERROR(LEFT(SPLIT(dados_01!C162, "" ""), 1))))"),"E. M. D. S")</f>
        <v>E. M. D. S</v>
      </c>
      <c r="D162" s="95" t="str">
        <f>dados_01!D162</f>
        <v>12/02/2025</v>
      </c>
      <c r="E162" s="95" t="str">
        <f>CONCATENATE(LEFT(dados_01!E162,3),REPT("*",6),RIGHT(dados_01!E162,2))</f>
        <v>050******00</v>
      </c>
      <c r="F162" s="95" t="str">
        <f>dados_01!F162</f>
        <v>INFANTIL 1</v>
      </c>
      <c r="G162" s="95" t="str">
        <f>dados_01!G162</f>
        <v>CENTRO MUNICIPAL DE EDUCAÇÃO INFANTIL MARCOS FREIRE</v>
      </c>
      <c r="H162" s="95" t="str">
        <f>dados_01!H162</f>
        <v>REGIONAL 4</v>
      </c>
      <c r="I162" s="95">
        <f>dados_01!I162</f>
        <v>0</v>
      </c>
      <c r="J162" s="95"/>
      <c r="K162" s="95"/>
      <c r="L162" s="95"/>
      <c r="M162" s="95"/>
      <c r="N162" s="95"/>
      <c r="O162" s="95"/>
      <c r="P162" s="95"/>
      <c r="Q162" s="95"/>
      <c r="R162" s="95"/>
      <c r="S162" s="95"/>
      <c r="T162" s="95"/>
      <c r="U162" s="95"/>
      <c r="V162" s="95"/>
      <c r="W162" s="95"/>
      <c r="X162" s="95"/>
      <c r="Y162" s="95"/>
      <c r="Z162" s="95"/>
    </row>
    <row r="163" ht="15.75" customHeight="1" spans="1:26">
      <c r="A163" s="95" t="str">
        <f>dados_01!A163</f>
        <v>11/05/2026 14:39:32</v>
      </c>
      <c r="B163" s="95" t="str">
        <f>dados_01!B163</f>
        <v>11</v>
      </c>
      <c r="C163" s="95" t="str">
        <f>IFERROR(__xludf.DUMMYFUNCTION("JOIN("". "", ARRAYFORMULA(IFERROR(LEFT(SPLIT(dados_01!C163, "" ""), 1))))"),"J. H. P. D. A")</f>
        <v>J. H. P. D. A</v>
      </c>
      <c r="D163" s="95" t="str">
        <f>dados_01!D163</f>
        <v>11/07/2024</v>
      </c>
      <c r="E163" s="95" t="str">
        <f>CONCATENATE(LEFT(dados_01!E163,3),REPT("*",6),RIGHT(dados_01!E163,2))</f>
        <v>003******28</v>
      </c>
      <c r="F163" s="95" t="str">
        <f>dados_01!F163</f>
        <v>INFANTIL 1</v>
      </c>
      <c r="G163" s="95" t="str">
        <f>dados_01!G163</f>
        <v>CENTRO MUNICIPAL DE EDUCAÇÃO INFANTIL MARCOS FREIRE</v>
      </c>
      <c r="H163" s="95" t="str">
        <f>dados_01!H163</f>
        <v>REGIONAL 4</v>
      </c>
      <c r="I163" s="95">
        <f>dados_01!I163</f>
        <v>0</v>
      </c>
      <c r="J163" s="95"/>
      <c r="K163" s="95"/>
      <c r="L163" s="95"/>
      <c r="M163" s="95"/>
      <c r="N163" s="95"/>
      <c r="O163" s="95"/>
      <c r="P163" s="95"/>
      <c r="Q163" s="95"/>
      <c r="R163" s="95"/>
      <c r="S163" s="95"/>
      <c r="T163" s="95"/>
      <c r="U163" s="95"/>
      <c r="V163" s="95"/>
      <c r="W163" s="95"/>
      <c r="X163" s="95"/>
      <c r="Y163" s="95"/>
      <c r="Z163" s="95"/>
    </row>
    <row r="164" ht="15.75" customHeight="1" spans="1:26">
      <c r="A164" s="95" t="str">
        <f>dados_01!A164</f>
        <v>26/05/2026 13:30:04</v>
      </c>
      <c r="B164" s="95" t="str">
        <f>dados_01!B164</f>
        <v>12</v>
      </c>
      <c r="C164" s="95" t="str">
        <f>IFERROR(__xludf.DUMMYFUNCTION("JOIN("". "", ARRAYFORMULA(IFERROR(LEFT(SPLIT(dados_01!C164, "" ""), 1))))"),"M. V. D. S. F")</f>
        <v>M. V. D. S. F</v>
      </c>
      <c r="D164" s="95" t="str">
        <f>dados_01!D164</f>
        <v>14/05/2025</v>
      </c>
      <c r="E164" s="95" t="str">
        <f>CONCATENATE(LEFT(dados_01!E164,3),REPT("*",6),RIGHT(dados_01!E164,2))</f>
        <v>006******85</v>
      </c>
      <c r="F164" s="95" t="str">
        <f>dados_01!F164</f>
        <v>INFANTIL 1</v>
      </c>
      <c r="G164" s="95" t="str">
        <f>dados_01!G164</f>
        <v>CENTRO MUNICIPAL DE EDUCAÇÃO INFANTIL MARCOS FREIRE</v>
      </c>
      <c r="H164" s="95" t="str">
        <f>dados_01!H164</f>
        <v>REGIONAL 4</v>
      </c>
      <c r="I164" s="95">
        <f>dados_01!I164</f>
        <v>0</v>
      </c>
      <c r="J164" s="95"/>
      <c r="K164" s="95"/>
      <c r="L164" s="95"/>
      <c r="M164" s="95"/>
      <c r="N164" s="95"/>
      <c r="O164" s="95"/>
      <c r="P164" s="95"/>
      <c r="Q164" s="95"/>
      <c r="R164" s="95"/>
      <c r="S164" s="95"/>
      <c r="T164" s="95"/>
      <c r="U164" s="95"/>
      <c r="V164" s="95"/>
      <c r="W164" s="95"/>
      <c r="X164" s="95"/>
      <c r="Y164" s="95"/>
      <c r="Z164" s="95"/>
    </row>
    <row r="165" ht="15.75" customHeight="1" spans="1:26">
      <c r="A165" s="95" t="str">
        <f>dados_01!A165</f>
        <v>03/03/2026 12:34:10</v>
      </c>
      <c r="B165" s="95" t="str">
        <f>dados_01!B165</f>
        <v>1</v>
      </c>
      <c r="C165" s="95" t="str">
        <f>IFERROR(__xludf.DUMMYFUNCTION("JOIN("". "", ARRAYFORMULA(IFERROR(LEFT(SPLIT(dados_01!C165, "" ""), 1))))"),"G. A. S. D. L")</f>
        <v>G. A. S. D. L</v>
      </c>
      <c r="D165" s="95" t="str">
        <f>dados_01!D165</f>
        <v>16/01/2024</v>
      </c>
      <c r="E165" s="95" t="str">
        <f>CONCATENATE(LEFT(dados_01!E165,3),REPT("*",6),RIGHT(dados_01!E165,2))</f>
        <v>001******51</v>
      </c>
      <c r="F165" s="95" t="str">
        <f>dados_01!F165</f>
        <v>INFANTIL 2</v>
      </c>
      <c r="G165" s="95" t="str">
        <f>dados_01!G165</f>
        <v>CENTRO MUNICIPAL DE EDUCAÇÃO INFANTIL MARCOS FREIRE</v>
      </c>
      <c r="H165" s="95" t="str">
        <f>dados_01!H165</f>
        <v>REGIONAL 4</v>
      </c>
      <c r="I165" s="95">
        <f>dados_01!I165</f>
        <v>0</v>
      </c>
      <c r="J165" s="95"/>
      <c r="K165" s="95"/>
      <c r="L165" s="95"/>
      <c r="M165" s="95"/>
      <c r="N165" s="95"/>
      <c r="O165" s="95"/>
      <c r="P165" s="95"/>
      <c r="Q165" s="95"/>
      <c r="R165" s="95"/>
      <c r="S165" s="95"/>
      <c r="T165" s="95"/>
      <c r="U165" s="95"/>
      <c r="V165" s="95"/>
      <c r="W165" s="95"/>
      <c r="X165" s="95"/>
      <c r="Y165" s="95"/>
      <c r="Z165" s="95"/>
    </row>
    <row r="166" ht="15.75" customHeight="1" spans="1:26">
      <c r="A166" s="95" t="str">
        <f>dados_01!A166</f>
        <v>04/03/2026 14:46:15</v>
      </c>
      <c r="B166" s="95" t="str">
        <f>dados_01!B166</f>
        <v>2</v>
      </c>
      <c r="C166" s="95" t="str">
        <f>IFERROR(__xludf.DUMMYFUNCTION("JOIN("". "", ARRAYFORMULA(IFERROR(LEFT(SPLIT(dados_01!C166, "" ""), 1))))"),"J. M. D. L. C")</f>
        <v>J. M. D. L. C</v>
      </c>
      <c r="D166" s="95" t="str">
        <f>dados_01!D166</f>
        <v>22/07/2023</v>
      </c>
      <c r="E166" s="95" t="str">
        <f>CONCATENATE(LEFT(dados_01!E166,3),REPT("*",6),RIGHT(dados_01!E166,2))</f>
        <v>234******62</v>
      </c>
      <c r="F166" s="95" t="str">
        <f>dados_01!F166</f>
        <v>INFANTIL 2</v>
      </c>
      <c r="G166" s="95" t="str">
        <f>dados_01!G166</f>
        <v>CENTRO MUNICIPAL DE EDUCAÇÃO INFANTIL MARCOS FREIRE</v>
      </c>
      <c r="H166" s="95" t="str">
        <f>dados_01!H166</f>
        <v>REGIONAL 4</v>
      </c>
      <c r="I166" s="95">
        <f>dados_01!I166</f>
        <v>0</v>
      </c>
      <c r="J166" s="95"/>
      <c r="K166" s="95"/>
      <c r="L166" s="95"/>
      <c r="M166" s="95"/>
      <c r="N166" s="95"/>
      <c r="O166" s="95"/>
      <c r="P166" s="95"/>
      <c r="Q166" s="95"/>
      <c r="R166" s="95"/>
      <c r="S166" s="95"/>
      <c r="T166" s="95"/>
      <c r="U166" s="95"/>
      <c r="V166" s="95"/>
      <c r="W166" s="95"/>
      <c r="X166" s="95"/>
      <c r="Y166" s="95"/>
      <c r="Z166" s="95"/>
    </row>
    <row r="167" ht="15.75" customHeight="1" spans="1:26">
      <c r="A167" s="95" t="str">
        <f>dados_01!A167</f>
        <v>20/03/2026 08:02:42</v>
      </c>
      <c r="B167" s="95" t="str">
        <f>dados_01!B167</f>
        <v>3</v>
      </c>
      <c r="C167" s="95" t="str">
        <f>IFERROR(__xludf.DUMMYFUNCTION("JOIN("". "", ARRAYFORMULA(IFERROR(LEFT(SPLIT(dados_01!C167, "" ""), 1))))"),"D. P. D. S. B")</f>
        <v>D. P. D. S. B</v>
      </c>
      <c r="D167" s="95" t="str">
        <f>dados_01!D167</f>
        <v>17/01/2024</v>
      </c>
      <c r="E167" s="95" t="str">
        <f>CONCATENATE(LEFT(dados_01!E167,3),REPT("*",6),RIGHT(dados_01!E167,2))</f>
        <v>001******32</v>
      </c>
      <c r="F167" s="95" t="str">
        <f>dados_01!F167</f>
        <v>INFANTIL 2</v>
      </c>
      <c r="G167" s="95" t="str">
        <f>dados_01!G167</f>
        <v>CENTRO MUNICIPAL DE EDUCAÇÃO INFANTIL MARCOS FREIRE</v>
      </c>
      <c r="H167" s="95" t="str">
        <f>dados_01!H167</f>
        <v>REGIONAL 4</v>
      </c>
      <c r="I167" s="95">
        <f>dados_01!I167</f>
        <v>0</v>
      </c>
      <c r="J167" s="95"/>
      <c r="K167" s="95"/>
      <c r="L167" s="95"/>
      <c r="M167" s="95"/>
      <c r="N167" s="95"/>
      <c r="O167" s="95"/>
      <c r="P167" s="95"/>
      <c r="Q167" s="95"/>
      <c r="R167" s="95"/>
      <c r="S167" s="95"/>
      <c r="T167" s="95"/>
      <c r="U167" s="95"/>
      <c r="V167" s="95"/>
      <c r="W167" s="95"/>
      <c r="X167" s="95"/>
      <c r="Y167" s="95"/>
      <c r="Z167" s="95"/>
    </row>
    <row r="168" ht="15.75" customHeight="1" spans="1:26">
      <c r="A168" s="95" t="str">
        <f>dados_01!A168</f>
        <v>20/03/2026 23:02:44</v>
      </c>
      <c r="B168" s="95" t="str">
        <f>dados_01!B168</f>
        <v>4</v>
      </c>
      <c r="C168" s="95" t="str">
        <f>IFERROR(__xludf.DUMMYFUNCTION("JOIN("". "", ARRAYFORMULA(IFERROR(LEFT(SPLIT(dados_01!C168, "" ""), 1))))"),"L. B. D. O. R")</f>
        <v>L. B. D. O. R</v>
      </c>
      <c r="D168" s="95" t="str">
        <f>dados_01!D168</f>
        <v>22/02/2024</v>
      </c>
      <c r="E168" s="95" t="str">
        <f>CONCATENATE(LEFT(dados_01!E168,3),REPT("*",6),RIGHT(dados_01!E168,2))</f>
        <v>002******40</v>
      </c>
      <c r="F168" s="95" t="str">
        <f>dados_01!F168</f>
        <v>INFANTIL 2</v>
      </c>
      <c r="G168" s="95" t="str">
        <f>dados_01!G168</f>
        <v>CENTRO MUNICIPAL DE EDUCAÇÃO INFANTIL MARCOS FREIRE</v>
      </c>
      <c r="H168" s="95" t="str">
        <f>dados_01!H168</f>
        <v>REGIONAL 4</v>
      </c>
      <c r="I168" s="95">
        <f>dados_01!I168</f>
        <v>0</v>
      </c>
      <c r="J168" s="95"/>
      <c r="K168" s="95"/>
      <c r="L168" s="95"/>
      <c r="M168" s="95"/>
      <c r="N168" s="95"/>
      <c r="O168" s="95"/>
      <c r="P168" s="95"/>
      <c r="Q168" s="95"/>
      <c r="R168" s="95"/>
      <c r="S168" s="95"/>
      <c r="T168" s="95"/>
      <c r="U168" s="95"/>
      <c r="V168" s="95"/>
      <c r="W168" s="95"/>
      <c r="X168" s="95"/>
      <c r="Y168" s="95"/>
      <c r="Z168" s="95"/>
    </row>
    <row r="169" ht="15.75" customHeight="1" spans="1:26">
      <c r="A169" s="95" t="str">
        <f>dados_01!A169</f>
        <v>08/04/2026 13:49:21</v>
      </c>
      <c r="B169" s="95" t="str">
        <f>dados_01!B169</f>
        <v>5</v>
      </c>
      <c r="C169" s="95" t="str">
        <f>IFERROR(__xludf.DUMMYFUNCTION("JOIN("". "", ARRAYFORMULA(IFERROR(LEFT(SPLIT(dados_01!C169, "" ""), 1))))"),"J. M. D. S. N")</f>
        <v>J. M. D. S. N</v>
      </c>
      <c r="D169" s="95" t="str">
        <f>dados_01!D169</f>
        <v>23/07/2023</v>
      </c>
      <c r="E169" s="95" t="str">
        <f>CONCATENATE(LEFT(dados_01!E169,3),REPT("*",6),RIGHT(dados_01!E169,2))</f>
        <v>186******21</v>
      </c>
      <c r="F169" s="95" t="str">
        <f>dados_01!F169</f>
        <v>INFANTIL 2</v>
      </c>
      <c r="G169" s="95" t="str">
        <f>dados_01!G169</f>
        <v>CENTRO MUNICIPAL DE EDUCAÇÃO INFANTIL MARCOS FREIRE</v>
      </c>
      <c r="H169" s="95" t="str">
        <f>dados_01!H169</f>
        <v>REGIONAL 4</v>
      </c>
      <c r="I169" s="95">
        <f>dados_01!I169</f>
        <v>0</v>
      </c>
      <c r="J169" s="95"/>
      <c r="K169" s="95"/>
      <c r="L169" s="95"/>
      <c r="M169" s="95"/>
      <c r="N169" s="95"/>
      <c r="O169" s="95"/>
      <c r="P169" s="95"/>
      <c r="Q169" s="95"/>
      <c r="R169" s="95"/>
      <c r="S169" s="95"/>
      <c r="T169" s="95"/>
      <c r="U169" s="95"/>
      <c r="V169" s="95"/>
      <c r="W169" s="95"/>
      <c r="X169" s="95"/>
      <c r="Y169" s="95"/>
      <c r="Z169" s="95"/>
    </row>
    <row r="170" ht="15.75" customHeight="1" spans="1:26">
      <c r="A170" s="95" t="str">
        <f>dados_01!A170</f>
        <v>17/03/2026 12:24:13</v>
      </c>
      <c r="B170" s="95" t="str">
        <f>dados_01!B170</f>
        <v>1</v>
      </c>
      <c r="C170" s="95" t="str">
        <f>IFERROR(__xludf.DUMMYFUNCTION("JOIN("". "", ARRAYFORMULA(IFERROR(LEFT(SPLIT(dados_01!C170, "" ""), 1))))"),"H. V. D. S. N")</f>
        <v>H. V. D. S. N</v>
      </c>
      <c r="D170" s="95" t="str">
        <f>dados_01!D170</f>
        <v>30/03/2023</v>
      </c>
      <c r="E170" s="95" t="str">
        <f>CONCATENATE(LEFT(dados_01!E170,3),REPT("*",6),RIGHT(dados_01!E170,2))</f>
        <v>185******64</v>
      </c>
      <c r="F170" s="95" t="str">
        <f>dados_01!F170</f>
        <v>INFANTIL 3</v>
      </c>
      <c r="G170" s="95" t="str">
        <f>dados_01!G170</f>
        <v>CENTRO MUNICIPAL DE EDUCAÇÃO INFANTIL MARCOS FREIRE</v>
      </c>
      <c r="H170" s="95" t="str">
        <f>dados_01!H170</f>
        <v>REGIONAL 4</v>
      </c>
      <c r="I170" s="95">
        <f>dados_01!I170</f>
        <v>0</v>
      </c>
      <c r="J170" s="95"/>
      <c r="K170" s="95"/>
      <c r="L170" s="95"/>
      <c r="M170" s="95"/>
      <c r="N170" s="95"/>
      <c r="O170" s="95"/>
      <c r="P170" s="95"/>
      <c r="Q170" s="95"/>
      <c r="R170" s="95"/>
      <c r="S170" s="95"/>
      <c r="T170" s="95"/>
      <c r="U170" s="95"/>
      <c r="V170" s="95"/>
      <c r="W170" s="95"/>
      <c r="X170" s="95"/>
      <c r="Y170" s="95"/>
      <c r="Z170" s="95"/>
    </row>
    <row r="171" ht="15.75" customHeight="1" spans="1:26">
      <c r="A171" s="95" t="str">
        <f>dados_01!A171</f>
        <v>19/03/2026 09:22:32</v>
      </c>
      <c r="B171" s="95" t="str">
        <f>dados_01!B171</f>
        <v>2</v>
      </c>
      <c r="C171" s="95" t="str">
        <f>IFERROR(__xludf.DUMMYFUNCTION("JOIN("". "", ARRAYFORMULA(IFERROR(LEFT(SPLIT(dados_01!C171, "" ""), 1))))"),"T. L. A")</f>
        <v>T. L. A</v>
      </c>
      <c r="D171" s="95" t="str">
        <f>dados_01!D171</f>
        <v>28/09/2022</v>
      </c>
      <c r="E171" s="95" t="str">
        <f>CONCATENATE(LEFT(dados_01!E171,3),REPT("*",6),RIGHT(dados_01!E171,2))</f>
        <v>605******52</v>
      </c>
      <c r="F171" s="95" t="str">
        <f>dados_01!F171</f>
        <v>INFANTIL 3</v>
      </c>
      <c r="G171" s="95" t="str">
        <f>dados_01!G171</f>
        <v>CENTRO MUNICIPAL DE EDUCAÇÃO INFANTIL MARCOS FREIRE</v>
      </c>
      <c r="H171" s="95" t="str">
        <f>dados_01!H171</f>
        <v>REGIONAL 4</v>
      </c>
      <c r="I171" s="95">
        <f>dados_01!I171</f>
        <v>0</v>
      </c>
      <c r="J171" s="95"/>
      <c r="K171" s="95"/>
      <c r="L171" s="95"/>
      <c r="M171" s="95"/>
      <c r="N171" s="95"/>
      <c r="O171" s="95"/>
      <c r="P171" s="95"/>
      <c r="Q171" s="95"/>
      <c r="R171" s="95"/>
      <c r="S171" s="95"/>
      <c r="T171" s="95"/>
      <c r="U171" s="95"/>
      <c r="V171" s="95"/>
      <c r="W171" s="95"/>
      <c r="X171" s="95"/>
      <c r="Y171" s="95"/>
      <c r="Z171" s="95"/>
    </row>
    <row r="172" ht="15.75" customHeight="1" spans="1:26">
      <c r="A172" s="95" t="str">
        <f>dados_01!A172</f>
        <v>06/04/2026 11:03:43</v>
      </c>
      <c r="B172" s="95" t="str">
        <f>dados_01!B172</f>
        <v>3</v>
      </c>
      <c r="C172" s="95" t="str">
        <f>IFERROR(__xludf.DUMMYFUNCTION("JOIN("". "", ARRAYFORMULA(IFERROR(LEFT(SPLIT(dados_01!C172, "" ""), 1))))"),"S. C. B. D. S")</f>
        <v>S. C. B. D. S</v>
      </c>
      <c r="D172" s="95" t="str">
        <f>dados_01!D172</f>
        <v>13/06/2022</v>
      </c>
      <c r="E172" s="95" t="str">
        <f>CONCATENATE(LEFT(dados_01!E172,3),REPT("*",6),RIGHT(dados_01!E172,2))</f>
        <v>181******80</v>
      </c>
      <c r="F172" s="95" t="str">
        <f>dados_01!F172</f>
        <v>INFANTIL 3</v>
      </c>
      <c r="G172" s="95" t="str">
        <f>dados_01!G172</f>
        <v>CENTRO MUNICIPAL DE EDUCAÇÃO INFANTIL MARCOS FREIRE</v>
      </c>
      <c r="H172" s="95" t="str">
        <f>dados_01!H172</f>
        <v>REGIONAL 4</v>
      </c>
      <c r="I172" s="95">
        <f>dados_01!I172</f>
        <v>0</v>
      </c>
      <c r="J172" s="95"/>
      <c r="K172" s="95"/>
      <c r="L172" s="95"/>
      <c r="M172" s="95"/>
      <c r="N172" s="95"/>
      <c r="O172" s="95"/>
      <c r="P172" s="95"/>
      <c r="Q172" s="95"/>
      <c r="R172" s="95"/>
      <c r="S172" s="95"/>
      <c r="T172" s="95"/>
      <c r="U172" s="95"/>
      <c r="V172" s="95"/>
      <c r="W172" s="95"/>
      <c r="X172" s="95"/>
      <c r="Y172" s="95"/>
      <c r="Z172" s="95"/>
    </row>
    <row r="173" ht="15.75" customHeight="1" spans="1:26">
      <c r="A173" s="95" t="str">
        <f>dados_01!A173</f>
        <v>25/02/2026 12:49:56</v>
      </c>
      <c r="B173" s="95" t="str">
        <f>dados_01!B173</f>
        <v>1</v>
      </c>
      <c r="C173" s="95" t="str">
        <f>IFERROR(__xludf.DUMMYFUNCTION("JOIN("". "", ARRAYFORMULA(IFERROR(LEFT(SPLIT(dados_01!C173, "" ""), 1))))"),"C")</f>
        <v>C</v>
      </c>
      <c r="D173" s="95" t="str">
        <f>dados_01!D173</f>
        <v>03/07/2025</v>
      </c>
      <c r="E173" s="95" t="str">
        <f>CONCATENATE(LEFT(dados_01!E173,3),REPT("*",6),RIGHT(dados_01!E173,2))</f>
        <v>006******51</v>
      </c>
      <c r="F173" s="95" t="str">
        <f>dados_01!F173</f>
        <v>INFANTIL 1</v>
      </c>
      <c r="G173" s="95" t="str">
        <f>dados_01!G173</f>
        <v>CRECHE ALAYDE MARIA DA CONCEICAO</v>
      </c>
      <c r="H173" s="95" t="str">
        <f>dados_01!H173</f>
        <v>REGIONAL 2</v>
      </c>
      <c r="I173" s="95">
        <f>dados_01!I173</f>
        <v>0</v>
      </c>
      <c r="J173" s="95"/>
      <c r="K173" s="95"/>
      <c r="L173" s="95"/>
      <c r="M173" s="95"/>
      <c r="N173" s="95"/>
      <c r="O173" s="95"/>
      <c r="P173" s="95"/>
      <c r="Q173" s="95"/>
      <c r="R173" s="95"/>
      <c r="S173" s="95"/>
      <c r="T173" s="95"/>
      <c r="U173" s="95"/>
      <c r="V173" s="95"/>
      <c r="W173" s="95"/>
      <c r="X173" s="95"/>
      <c r="Y173" s="95"/>
      <c r="Z173" s="95"/>
    </row>
    <row r="174" ht="15.75" customHeight="1" spans="1:26">
      <c r="A174" s="95" t="str">
        <f>dados_01!A174</f>
        <v>25/03/2026 16:34:54</v>
      </c>
      <c r="B174" s="95" t="str">
        <f>dados_01!B174</f>
        <v>2</v>
      </c>
      <c r="C174" s="95" t="str">
        <f>IFERROR(__xludf.DUMMYFUNCTION("JOIN("". "", ARRAYFORMULA(IFERROR(LEFT(SPLIT(dados_01!C174, "" ""), 1))))"),"D. A. D. S")</f>
        <v>D. A. D. S</v>
      </c>
      <c r="D174" s="95" t="str">
        <f>dados_01!D174</f>
        <v>27/05/2025</v>
      </c>
      <c r="E174" s="95" t="str">
        <f>CONCATENATE(LEFT(dados_01!E174,3),REPT("*",6),RIGHT(dados_01!E174,2))</f>
        <v>003******10</v>
      </c>
      <c r="F174" s="95" t="str">
        <f>dados_01!F174</f>
        <v>INFANTIL 1</v>
      </c>
      <c r="G174" s="95" t="str">
        <f>dados_01!G174</f>
        <v>CRECHE ALAYDE MARIA DA CONCEICAO</v>
      </c>
      <c r="H174" s="95" t="str">
        <f>dados_01!H174</f>
        <v>REGIONAL 2</v>
      </c>
      <c r="I174" s="95">
        <f>dados_01!I174</f>
        <v>0</v>
      </c>
      <c r="J174" s="95"/>
      <c r="K174" s="95"/>
      <c r="L174" s="95"/>
      <c r="M174" s="95"/>
      <c r="N174" s="95"/>
      <c r="O174" s="95"/>
      <c r="P174" s="95"/>
      <c r="Q174" s="95"/>
      <c r="R174" s="95"/>
      <c r="S174" s="95"/>
      <c r="T174" s="95"/>
      <c r="U174" s="95"/>
      <c r="V174" s="95"/>
      <c r="W174" s="95"/>
      <c r="X174" s="95"/>
      <c r="Y174" s="95"/>
      <c r="Z174" s="95"/>
    </row>
    <row r="175" ht="15.75" customHeight="1" spans="1:26">
      <c r="A175" s="95" t="str">
        <f>dados_01!A175</f>
        <v>19/03/2026 10:36:55</v>
      </c>
      <c r="B175" s="95" t="str">
        <f>dados_01!B175</f>
        <v>1</v>
      </c>
      <c r="C175" s="95" t="str">
        <f>IFERROR(__xludf.DUMMYFUNCTION("JOIN("". "", ARRAYFORMULA(IFERROR(LEFT(SPLIT(dados_01!C175, "" ""), 1))))"),"E. E. M. D. L")</f>
        <v>E. E. M. D. L</v>
      </c>
      <c r="D175" s="95" t="str">
        <f>dados_01!D175</f>
        <v>21/04/2023</v>
      </c>
      <c r="E175" s="95" t="str">
        <f>CONCATENATE(LEFT(dados_01!E175,3),REPT("*",6),RIGHT(dados_01!E175,2))</f>
        <v>185******93</v>
      </c>
      <c r="F175" s="95" t="str">
        <f>dados_01!F175</f>
        <v>INFANTIL 2</v>
      </c>
      <c r="G175" s="95" t="str">
        <f>dados_01!G175</f>
        <v>CRECHE ALAYDE MARIA DA CONCEICAO</v>
      </c>
      <c r="H175" s="95" t="str">
        <f>dados_01!H175</f>
        <v>REGIONAL 2</v>
      </c>
      <c r="I175" s="95">
        <f>dados_01!I175</f>
        <v>0</v>
      </c>
      <c r="J175" s="95"/>
      <c r="K175" s="95"/>
      <c r="L175" s="95"/>
      <c r="M175" s="95"/>
      <c r="N175" s="95"/>
      <c r="O175" s="95"/>
      <c r="P175" s="95"/>
      <c r="Q175" s="95"/>
      <c r="R175" s="95"/>
      <c r="S175" s="95"/>
      <c r="T175" s="95"/>
      <c r="U175" s="95"/>
      <c r="V175" s="95"/>
      <c r="W175" s="95"/>
      <c r="X175" s="95"/>
      <c r="Y175" s="95"/>
      <c r="Z175" s="95"/>
    </row>
    <row r="176" ht="15.75" customHeight="1" spans="1:26">
      <c r="A176" s="95" t="str">
        <f>dados_01!A176</f>
        <v>31/03/2026 12:14:35</v>
      </c>
      <c r="B176" s="95" t="str">
        <f>dados_01!B176</f>
        <v>2</v>
      </c>
      <c r="C176" s="95" t="str">
        <f>IFERROR(__xludf.DUMMYFUNCTION("JOIN("". "", ARRAYFORMULA(IFERROR(LEFT(SPLIT(dados_01!C176, "" ""), 1))))"),"H. D. A. F")</f>
        <v>H. D. A. F</v>
      </c>
      <c r="D176" s="95" t="str">
        <f>dados_01!D176</f>
        <v>04/03/2024</v>
      </c>
      <c r="E176" s="95" t="str">
        <f>CONCATENATE(LEFT(dados_01!E176,3),REPT("*",6),RIGHT(dados_01!E176,2))</f>
        <v>002******10</v>
      </c>
      <c r="F176" s="95" t="str">
        <f>dados_01!F176</f>
        <v>INFANTIL 2</v>
      </c>
      <c r="G176" s="95" t="str">
        <f>dados_01!G176</f>
        <v>CRECHE ALAYDE MARIA DA CONCEICAO</v>
      </c>
      <c r="H176" s="95" t="str">
        <f>dados_01!H176</f>
        <v>REGIONAL 2</v>
      </c>
      <c r="I176" s="95">
        <f>dados_01!I176</f>
        <v>0</v>
      </c>
      <c r="J176" s="95"/>
      <c r="K176" s="95"/>
      <c r="L176" s="95"/>
      <c r="M176" s="95"/>
      <c r="N176" s="95"/>
      <c r="O176" s="95"/>
      <c r="P176" s="95"/>
      <c r="Q176" s="95"/>
      <c r="R176" s="95"/>
      <c r="S176" s="95"/>
      <c r="T176" s="95"/>
      <c r="U176" s="95"/>
      <c r="V176" s="95"/>
      <c r="W176" s="95"/>
      <c r="X176" s="95"/>
      <c r="Y176" s="95"/>
      <c r="Z176" s="95"/>
    </row>
    <row r="177" ht="15.75" customHeight="1" spans="1:26">
      <c r="A177" s="95" t="str">
        <f>dados_01!A177</f>
        <v>27/04/2026 15:51:32</v>
      </c>
      <c r="B177" s="95" t="str">
        <f>dados_01!B177</f>
        <v>3</v>
      </c>
      <c r="C177" s="95" t="str">
        <f>IFERROR(__xludf.DUMMYFUNCTION("JOIN("". "", ARRAYFORMULA(IFERROR(LEFT(SPLIT(dados_01!C177, "" ""), 1))))"),"E. F. M. D. S. R")</f>
        <v>E. F. M. D. S. R</v>
      </c>
      <c r="D177" s="95" t="str">
        <f>dados_01!D177</f>
        <v>11/02/2024</v>
      </c>
      <c r="E177" s="95" t="str">
        <f>CONCATENATE(LEFT(dados_01!E177,3),REPT("*",6),RIGHT(dados_01!E177,2))</f>
        <v>001******22</v>
      </c>
      <c r="F177" s="95" t="str">
        <f>dados_01!F177</f>
        <v>INFANTIL 2</v>
      </c>
      <c r="G177" s="95" t="str">
        <f>dados_01!G177</f>
        <v>CRECHE ALAYDE MARIA DA CONCEICAO</v>
      </c>
      <c r="H177" s="95" t="str">
        <f>dados_01!H177</f>
        <v>REGIONAL 2</v>
      </c>
      <c r="I177" s="95">
        <f>dados_01!I177</f>
        <v>0</v>
      </c>
      <c r="J177" s="95"/>
      <c r="K177" s="95"/>
      <c r="L177" s="95"/>
      <c r="M177" s="95"/>
      <c r="N177" s="95"/>
      <c r="O177" s="95"/>
      <c r="P177" s="95"/>
      <c r="Q177" s="95"/>
      <c r="R177" s="95"/>
      <c r="S177" s="95"/>
      <c r="T177" s="95"/>
      <c r="U177" s="95"/>
      <c r="V177" s="95"/>
      <c r="W177" s="95"/>
      <c r="X177" s="95"/>
      <c r="Y177" s="95"/>
      <c r="Z177" s="95"/>
    </row>
    <row r="178" ht="15.75" customHeight="1" spans="1:26">
      <c r="A178" s="95" t="str">
        <f>dados_01!A178</f>
        <v>29/01/2026 11:44:10</v>
      </c>
      <c r="B178" s="95" t="str">
        <f>dados_01!B178</f>
        <v>1</v>
      </c>
      <c r="C178" s="95" t="str">
        <f>IFERROR(__xludf.DUMMYFUNCTION("JOIN("". "", ARRAYFORMULA(IFERROR(LEFT(SPLIT(dados_01!C178, "" ""), 1))))"),"H. R. D. S. D")</f>
        <v>H. R. D. S. D</v>
      </c>
      <c r="D178" s="95" t="str">
        <f>dados_01!D178</f>
        <v>08/02/2025</v>
      </c>
      <c r="E178" s="95" t="str">
        <f>CONCATENATE(LEFT(dados_01!E178,3),REPT("*",6),RIGHT(dados_01!E178,2))</f>
        <v>005******71</v>
      </c>
      <c r="F178" s="95" t="str">
        <f>dados_01!F178</f>
        <v>INFANTIL 1</v>
      </c>
      <c r="G178" s="95" t="str">
        <f>dados_01!G178</f>
        <v>CRECHE CIRANDA CIRANDINHA</v>
      </c>
      <c r="H178" s="95" t="str">
        <f>dados_01!H178</f>
        <v>REGIONAL 1</v>
      </c>
      <c r="I178" s="95">
        <f>dados_01!I178</f>
        <v>0</v>
      </c>
      <c r="J178" s="95"/>
      <c r="K178" s="95"/>
      <c r="L178" s="95"/>
      <c r="M178" s="95"/>
      <c r="N178" s="95"/>
      <c r="O178" s="95"/>
      <c r="P178" s="95"/>
      <c r="Q178" s="95"/>
      <c r="R178" s="95"/>
      <c r="S178" s="95"/>
      <c r="T178" s="95"/>
      <c r="U178" s="95"/>
      <c r="V178" s="95"/>
      <c r="W178" s="95"/>
      <c r="X178" s="95"/>
      <c r="Y178" s="95"/>
      <c r="Z178" s="95"/>
    </row>
    <row r="179" ht="15.75" customHeight="1" spans="1:26">
      <c r="A179" s="95" t="str">
        <f>dados_01!A179</f>
        <v>04/02/2026 13:14:32</v>
      </c>
      <c r="B179" s="95" t="str">
        <f>dados_01!B179</f>
        <v>2</v>
      </c>
      <c r="C179" s="95" t="str">
        <f>IFERROR(__xludf.DUMMYFUNCTION("JOIN("". "", ARRAYFORMULA(IFERROR(LEFT(SPLIT(dados_01!C179, "" ""), 1))))"),"C. M. N. D. S")</f>
        <v>C. M. N. D. S</v>
      </c>
      <c r="D179" s="95" t="str">
        <f>dados_01!D179</f>
        <v>24/04/2024</v>
      </c>
      <c r="E179" s="95" t="str">
        <f>CONCATENATE(LEFT(dados_01!E179,3),REPT("*",6),RIGHT(dados_01!E179,2))</f>
        <v>002******90</v>
      </c>
      <c r="F179" s="95" t="str">
        <f>dados_01!F179</f>
        <v>INFANTIL 1</v>
      </c>
      <c r="G179" s="95" t="str">
        <f>dados_01!G179</f>
        <v>CRECHE CIRANDA CIRANDINHA</v>
      </c>
      <c r="H179" s="95" t="str">
        <f>dados_01!H179</f>
        <v>REGIONAL 1</v>
      </c>
      <c r="I179" s="95">
        <f>dados_01!I179</f>
        <v>0</v>
      </c>
      <c r="J179" s="95"/>
      <c r="K179" s="95"/>
      <c r="L179" s="95"/>
      <c r="M179" s="95"/>
      <c r="N179" s="95"/>
      <c r="O179" s="95"/>
      <c r="P179" s="95"/>
      <c r="Q179" s="95"/>
      <c r="R179" s="95"/>
      <c r="S179" s="95"/>
      <c r="T179" s="95"/>
      <c r="U179" s="95"/>
      <c r="V179" s="95"/>
      <c r="W179" s="95"/>
      <c r="X179" s="95"/>
      <c r="Y179" s="95"/>
      <c r="Z179" s="95"/>
    </row>
    <row r="180" ht="15.75" customHeight="1" spans="1:26">
      <c r="A180" s="95" t="str">
        <f>dados_01!A180</f>
        <v>19/02/2026 09:00:23</v>
      </c>
      <c r="B180" s="95" t="str">
        <f>dados_01!B180</f>
        <v>3</v>
      </c>
      <c r="C180" s="95" t="str">
        <f>IFERROR(__xludf.DUMMYFUNCTION("JOIN("". "", ARRAYFORMULA(IFERROR(LEFT(SPLIT(dados_01!C180, "" ""), 1))))"),"R. L. D. S. S")</f>
        <v>R. L. D. S. S</v>
      </c>
      <c r="D180" s="95" t="str">
        <f>dados_01!D180</f>
        <v>12/05/2025</v>
      </c>
      <c r="E180" s="95" t="str">
        <f>CONCATENATE(LEFT(dados_01!E180,3),REPT("*",6),RIGHT(dados_01!E180,2))</f>
        <v>006******35</v>
      </c>
      <c r="F180" s="95" t="str">
        <f>dados_01!F180</f>
        <v>INFANTIL 1</v>
      </c>
      <c r="G180" s="95" t="str">
        <f>dados_01!G180</f>
        <v>CRECHE CIRANDA CIRANDINHA</v>
      </c>
      <c r="H180" s="95" t="str">
        <f>dados_01!H180</f>
        <v>REGIONAL 1</v>
      </c>
      <c r="I180" s="95">
        <f>dados_01!I180</f>
        <v>0</v>
      </c>
      <c r="J180" s="95"/>
      <c r="K180" s="95"/>
      <c r="L180" s="95"/>
      <c r="M180" s="95"/>
      <c r="N180" s="95"/>
      <c r="O180" s="95"/>
      <c r="P180" s="95"/>
      <c r="Q180" s="95"/>
      <c r="R180" s="95"/>
      <c r="S180" s="95"/>
      <c r="T180" s="95"/>
      <c r="U180" s="95"/>
      <c r="V180" s="95"/>
      <c r="W180" s="95"/>
      <c r="X180" s="95"/>
      <c r="Y180" s="95"/>
      <c r="Z180" s="95"/>
    </row>
    <row r="181" ht="15.75" customHeight="1" spans="1:26">
      <c r="A181" s="95" t="str">
        <f>dados_01!A181</f>
        <v>14/03/2026 10:04:37</v>
      </c>
      <c r="B181" s="95" t="str">
        <f>dados_01!B181</f>
        <v>4</v>
      </c>
      <c r="C181" s="95" t="str">
        <f>IFERROR(__xludf.DUMMYFUNCTION("JOIN("". "", ARRAYFORMULA(IFERROR(LEFT(SPLIT(dados_01!C181, "" ""), 1))))"),"B. C")</f>
        <v>B. C</v>
      </c>
      <c r="D181" s="95" t="str">
        <f>dados_01!D181</f>
        <v>27/06/2024</v>
      </c>
      <c r="E181" s="95" t="str">
        <f>CONCATENATE(LEFT(dados_01!E181,3),REPT("*",6),RIGHT(dados_01!E181,2))</f>
        <v>003******01</v>
      </c>
      <c r="F181" s="95" t="str">
        <f>dados_01!F181</f>
        <v>INFANTIL 1</v>
      </c>
      <c r="G181" s="95" t="str">
        <f>dados_01!G181</f>
        <v>CRECHE CIRANDA CIRANDINHA</v>
      </c>
      <c r="H181" s="95" t="str">
        <f>dados_01!H181</f>
        <v>REGIONAL 1</v>
      </c>
      <c r="I181" s="95">
        <f>dados_01!I181</f>
        <v>0</v>
      </c>
      <c r="J181" s="95"/>
      <c r="K181" s="95"/>
      <c r="L181" s="95"/>
      <c r="M181" s="95"/>
      <c r="N181" s="95"/>
      <c r="O181" s="95"/>
      <c r="P181" s="95"/>
      <c r="Q181" s="95"/>
      <c r="R181" s="95"/>
      <c r="S181" s="95"/>
      <c r="T181" s="95"/>
      <c r="U181" s="95"/>
      <c r="V181" s="95"/>
      <c r="W181" s="95"/>
      <c r="X181" s="95"/>
      <c r="Y181" s="95"/>
      <c r="Z181" s="95"/>
    </row>
    <row r="182" ht="15.75" customHeight="1" spans="1:26">
      <c r="A182" s="95" t="str">
        <f>dados_01!A182</f>
        <v>30/03/2026 09:26:32</v>
      </c>
      <c r="B182" s="95" t="str">
        <f>dados_01!B182</f>
        <v>5</v>
      </c>
      <c r="C182" s="95" t="str">
        <f>IFERROR(__xludf.DUMMYFUNCTION("JOIN("". "", ARRAYFORMULA(IFERROR(LEFT(SPLIT(dados_01!C182, "" ""), 1))))"),"B. M. D. S. A")</f>
        <v>B. M. D. S. A</v>
      </c>
      <c r="D182" s="95" t="str">
        <f>dados_01!D182</f>
        <v>03/04/2024</v>
      </c>
      <c r="E182" s="95" t="str">
        <f>CONCATENATE(LEFT(dados_01!E182,3),REPT("*",6),RIGHT(dados_01!E182,2))</f>
        <v>002******88</v>
      </c>
      <c r="F182" s="95" t="str">
        <f>dados_01!F182</f>
        <v>INFANTIL 1</v>
      </c>
      <c r="G182" s="95" t="str">
        <f>dados_01!G182</f>
        <v>CRECHE CIRANDA CIRANDINHA</v>
      </c>
      <c r="H182" s="95" t="str">
        <f>dados_01!H182</f>
        <v>REGIONAL 1</v>
      </c>
      <c r="I182" s="95">
        <f>dados_01!I182</f>
        <v>0</v>
      </c>
      <c r="J182" s="95"/>
      <c r="K182" s="95"/>
      <c r="L182" s="95"/>
      <c r="M182" s="95"/>
      <c r="N182" s="95"/>
      <c r="O182" s="95"/>
      <c r="P182" s="95"/>
      <c r="Q182" s="95"/>
      <c r="R182" s="95"/>
      <c r="S182" s="95"/>
      <c r="T182" s="95"/>
      <c r="U182" s="95"/>
      <c r="V182" s="95"/>
      <c r="W182" s="95"/>
      <c r="X182" s="95"/>
      <c r="Y182" s="95"/>
      <c r="Z182" s="95"/>
    </row>
    <row r="183" ht="15.75" customHeight="1" spans="1:26">
      <c r="A183" s="95" t="str">
        <f>dados_01!A183</f>
        <v>30/03/2026 09:26:32</v>
      </c>
      <c r="B183" s="95" t="str">
        <f>dados_01!B183</f>
        <v>6</v>
      </c>
      <c r="C183" s="95" t="str">
        <f>IFERROR(__xludf.DUMMYFUNCTION("JOIN("". "", ARRAYFORMULA(IFERROR(LEFT(SPLIT(dados_01!C183, "" ""), 1))))"),"B. J. D. S. A")</f>
        <v>B. J. D. S. A</v>
      </c>
      <c r="D183" s="95" t="str">
        <f>dados_01!D183</f>
        <v>03/04/2024</v>
      </c>
      <c r="E183" s="95" t="str">
        <f>CONCATENATE(LEFT(dados_01!E183,3),REPT("*",6),RIGHT(dados_01!E183,2))</f>
        <v>002******32</v>
      </c>
      <c r="F183" s="95" t="str">
        <f>dados_01!F183</f>
        <v>INFANTIL 1</v>
      </c>
      <c r="G183" s="95" t="str">
        <f>dados_01!G183</f>
        <v>CRECHE CIRANDA CIRANDINHA</v>
      </c>
      <c r="H183" s="95" t="str">
        <f>dados_01!H183</f>
        <v>REGIONAL 1</v>
      </c>
      <c r="I183" s="95">
        <f>dados_01!I183</f>
        <v>0</v>
      </c>
      <c r="J183" s="95"/>
      <c r="K183" s="95"/>
      <c r="L183" s="95"/>
      <c r="M183" s="95"/>
      <c r="N183" s="95"/>
      <c r="O183" s="95"/>
      <c r="P183" s="95"/>
      <c r="Q183" s="95"/>
      <c r="R183" s="95"/>
      <c r="S183" s="95"/>
      <c r="T183" s="95"/>
      <c r="U183" s="95"/>
      <c r="V183" s="95"/>
      <c r="W183" s="95"/>
      <c r="X183" s="95"/>
      <c r="Y183" s="95"/>
      <c r="Z183" s="95"/>
    </row>
    <row r="184" ht="15.75" customHeight="1" spans="1:26">
      <c r="A184" s="95" t="str">
        <f>dados_01!A184</f>
        <v>29/04/2026 14:37:28</v>
      </c>
      <c r="B184" s="95" t="str">
        <f>dados_01!B184</f>
        <v>7</v>
      </c>
      <c r="C184" s="95" t="str">
        <f>IFERROR(__xludf.DUMMYFUNCTION("JOIN("". "", ARRAYFORMULA(IFERROR(LEFT(SPLIT(dados_01!C184, "" ""), 1))))"),"K. R. B. D. B")</f>
        <v>K. R. B. D. B</v>
      </c>
      <c r="D184" s="95" t="str">
        <f>dados_01!D184</f>
        <v>14/01/2025</v>
      </c>
      <c r="E184" s="95" t="str">
        <f>CONCATENATE(LEFT(dados_01!E184,3),REPT("*",6),RIGHT(dados_01!E184,2))</f>
        <v>006******40</v>
      </c>
      <c r="F184" s="95" t="str">
        <f>dados_01!F184</f>
        <v>INFANTIL 1</v>
      </c>
      <c r="G184" s="95" t="str">
        <f>dados_01!G184</f>
        <v>CRECHE CIRANDA CIRANDINHA</v>
      </c>
      <c r="H184" s="95" t="str">
        <f>dados_01!H184</f>
        <v>REGIONAL 1</v>
      </c>
      <c r="I184" s="95">
        <f>dados_01!I184</f>
        <v>0</v>
      </c>
      <c r="J184" s="95"/>
      <c r="K184" s="95"/>
      <c r="L184" s="95"/>
      <c r="M184" s="95"/>
      <c r="N184" s="95"/>
      <c r="O184" s="95"/>
      <c r="P184" s="95"/>
      <c r="Q184" s="95"/>
      <c r="R184" s="95"/>
      <c r="S184" s="95"/>
      <c r="T184" s="95"/>
      <c r="U184" s="95"/>
      <c r="V184" s="95"/>
      <c r="W184" s="95"/>
      <c r="X184" s="95"/>
      <c r="Y184" s="95"/>
      <c r="Z184" s="95"/>
    </row>
    <row r="185" ht="15.75" customHeight="1" spans="1:26">
      <c r="A185" s="95" t="str">
        <f>dados_01!A185</f>
        <v>28/05/2026 16:17:10</v>
      </c>
      <c r="B185" s="95" t="str">
        <f>dados_01!B185</f>
        <v>8</v>
      </c>
      <c r="C185" s="95" t="str">
        <f>IFERROR(__xludf.DUMMYFUNCTION("JOIN("". "", ARRAYFORMULA(IFERROR(LEFT(SPLIT(dados_01!C185, "" ""), 1))))"),"H. C. R. G")</f>
        <v>H. C. R. G</v>
      </c>
      <c r="D185" s="95" t="str">
        <f>dados_01!D185</f>
        <v>02/12/2024</v>
      </c>
      <c r="E185" s="95" t="str">
        <f>CONCATENATE(LEFT(dados_01!E185,3),REPT("*",6),RIGHT(dados_01!E185,2))</f>
        <v>004******08</v>
      </c>
      <c r="F185" s="95" t="str">
        <f>dados_01!F185</f>
        <v>INFANTIL 1</v>
      </c>
      <c r="G185" s="95" t="str">
        <f>dados_01!G185</f>
        <v>CRECHE CIRANDA CIRANDINHA</v>
      </c>
      <c r="H185" s="95" t="str">
        <f>dados_01!H185</f>
        <v>REGIONAL 1</v>
      </c>
      <c r="I185" s="95">
        <f>dados_01!I185</f>
        <v>0</v>
      </c>
      <c r="J185" s="95"/>
      <c r="K185" s="95"/>
      <c r="L185" s="95"/>
      <c r="M185" s="95"/>
      <c r="N185" s="95"/>
      <c r="O185" s="95"/>
      <c r="P185" s="95"/>
      <c r="Q185" s="95"/>
      <c r="R185" s="95"/>
      <c r="S185" s="95"/>
      <c r="T185" s="95"/>
      <c r="U185" s="95"/>
      <c r="V185" s="95"/>
      <c r="W185" s="95"/>
      <c r="X185" s="95"/>
      <c r="Y185" s="95"/>
      <c r="Z185" s="95"/>
    </row>
    <row r="186" ht="15.75" customHeight="1" spans="1:26">
      <c r="A186" s="95" t="str">
        <f>dados_01!A186</f>
        <v>02/02/2026 14:50:25</v>
      </c>
      <c r="B186" s="95" t="str">
        <f>dados_01!B186</f>
        <v>1</v>
      </c>
      <c r="C186" s="95" t="str">
        <f>IFERROR(__xludf.DUMMYFUNCTION("JOIN("". "", ARRAYFORMULA(IFERROR(LEFT(SPLIT(dados_01!C186, "" ""), 1))))"),"A. T. A. M. D. M")</f>
        <v>A. T. A. M. D. M</v>
      </c>
      <c r="D186" s="95" t="str">
        <f>dados_01!D186</f>
        <v>04/10/2023</v>
      </c>
      <c r="E186" s="95" t="str">
        <f>CONCATENATE(LEFT(dados_01!E186,3),REPT("*",6),RIGHT(dados_01!E186,2))</f>
        <v>000******96</v>
      </c>
      <c r="F186" s="95" t="str">
        <f>dados_01!F186</f>
        <v>INFANTIL 2</v>
      </c>
      <c r="G186" s="95" t="str">
        <f>dados_01!G186</f>
        <v>CRECHE CIRANDA CIRANDINHA</v>
      </c>
      <c r="H186" s="95" t="str">
        <f>dados_01!H186</f>
        <v>REGIONAL 1</v>
      </c>
      <c r="I186" s="95">
        <f>dados_01!I186</f>
        <v>0</v>
      </c>
      <c r="J186" s="95"/>
      <c r="K186" s="95"/>
      <c r="L186" s="95"/>
      <c r="M186" s="95"/>
      <c r="N186" s="95"/>
      <c r="O186" s="95"/>
      <c r="P186" s="95"/>
      <c r="Q186" s="95"/>
      <c r="R186" s="95"/>
      <c r="S186" s="95"/>
      <c r="T186" s="95"/>
      <c r="U186" s="95"/>
      <c r="V186" s="95"/>
      <c r="W186" s="95"/>
      <c r="X186" s="95"/>
      <c r="Y186" s="95"/>
      <c r="Z186" s="95"/>
    </row>
    <row r="187" ht="15.75" customHeight="1" spans="1:26">
      <c r="A187" s="95" t="str">
        <f>dados_01!A187</f>
        <v>09/02/2026 08:21:00</v>
      </c>
      <c r="B187" s="95" t="str">
        <f>dados_01!B187</f>
        <v>2</v>
      </c>
      <c r="C187" s="95" t="str">
        <f>IFERROR(__xludf.DUMMYFUNCTION("JOIN("". "", ARRAYFORMULA(IFERROR(LEFT(SPLIT(dados_01!C187, "" ""), 1))))"),"E. V. G. V")</f>
        <v>E. V. G. V</v>
      </c>
      <c r="D187" s="95" t="str">
        <f>dados_01!D187</f>
        <v>15/07/2023</v>
      </c>
      <c r="E187" s="95" t="str">
        <f>CONCATENATE(LEFT(dados_01!E187,3),REPT("*",6),RIGHT(dados_01!E187,2))</f>
        <v>186******70</v>
      </c>
      <c r="F187" s="95" t="str">
        <f>dados_01!F187</f>
        <v>INFANTIL 2</v>
      </c>
      <c r="G187" s="95" t="str">
        <f>dados_01!G187</f>
        <v>CRECHE CIRANDA CIRANDINHA</v>
      </c>
      <c r="H187" s="95" t="str">
        <f>dados_01!H187</f>
        <v>REGIONAL 1</v>
      </c>
      <c r="I187" s="95">
        <f>dados_01!I187</f>
        <v>0</v>
      </c>
      <c r="J187" s="95"/>
      <c r="K187" s="95"/>
      <c r="L187" s="95"/>
      <c r="M187" s="95"/>
      <c r="N187" s="95"/>
      <c r="O187" s="95"/>
      <c r="P187" s="95"/>
      <c r="Q187" s="95"/>
      <c r="R187" s="95"/>
      <c r="S187" s="95"/>
      <c r="T187" s="95"/>
      <c r="U187" s="95"/>
      <c r="V187" s="95"/>
      <c r="W187" s="95"/>
      <c r="X187" s="95"/>
      <c r="Y187" s="95"/>
      <c r="Z187" s="95"/>
    </row>
    <row r="188" ht="15.75" customHeight="1" spans="1:26">
      <c r="A188" s="95" t="str">
        <f>dados_01!A188</f>
        <v>05/04/2026 12:01:39</v>
      </c>
      <c r="B188" s="95" t="str">
        <f>dados_01!B188</f>
        <v>3</v>
      </c>
      <c r="C188" s="95" t="str">
        <f>IFERROR(__xludf.DUMMYFUNCTION("JOIN("". "", ARRAYFORMULA(IFERROR(LEFT(SPLIT(dados_01!C188, "" ""), 1))))"),"B. R. M. T. D. S")</f>
        <v>B. R. M. T. D. S</v>
      </c>
      <c r="D188" s="95" t="str">
        <f>dados_01!D188</f>
        <v>28/01/2024</v>
      </c>
      <c r="E188" s="95" t="str">
        <f>CONCATENATE(LEFT(dados_01!E188,3),REPT("*",6),RIGHT(dados_01!E188,2))</f>
        <v>001******62</v>
      </c>
      <c r="F188" s="95" t="str">
        <f>dados_01!F188</f>
        <v>INFANTIL 2</v>
      </c>
      <c r="G188" s="95" t="str">
        <f>dados_01!G188</f>
        <v>CRECHE CIRANDA CIRANDINHA</v>
      </c>
      <c r="H188" s="95" t="str">
        <f>dados_01!H188</f>
        <v>REGIONAL 1</v>
      </c>
      <c r="I188" s="95">
        <f>dados_01!I188</f>
        <v>0</v>
      </c>
      <c r="J188" s="95"/>
      <c r="K188" s="95"/>
      <c r="L188" s="95"/>
      <c r="M188" s="95"/>
      <c r="N188" s="95"/>
      <c r="O188" s="95"/>
      <c r="P188" s="95"/>
      <c r="Q188" s="95"/>
      <c r="R188" s="95"/>
      <c r="S188" s="95"/>
      <c r="T188" s="95"/>
      <c r="U188" s="95"/>
      <c r="V188" s="95"/>
      <c r="W188" s="95"/>
      <c r="X188" s="95"/>
      <c r="Y188" s="95"/>
      <c r="Z188" s="95"/>
    </row>
    <row r="189" ht="15.75" customHeight="1" spans="1:26">
      <c r="A189" s="95" t="str">
        <f>dados_01!A189</f>
        <v>27/04/2026 12:48:07</v>
      </c>
      <c r="B189" s="95" t="str">
        <f>dados_01!B189</f>
        <v>4</v>
      </c>
      <c r="C189" s="95" t="str">
        <f>IFERROR(__xludf.DUMMYFUNCTION("JOIN("". "", ARRAYFORMULA(IFERROR(LEFT(SPLIT(dados_01!C189, "" ""), 1))))"),"A. A. D. S. S")</f>
        <v>A. A. D. S. S</v>
      </c>
      <c r="D189" s="95" t="str">
        <f>dados_01!D189</f>
        <v>23/12/2023</v>
      </c>
      <c r="E189" s="95" t="str">
        <f>CONCATENATE(LEFT(dados_01!E189,3),REPT("*",6),RIGHT(dados_01!E189,2))</f>
        <v>001******43</v>
      </c>
      <c r="F189" s="95" t="str">
        <f>dados_01!F189</f>
        <v>INFANTIL 2</v>
      </c>
      <c r="G189" s="95" t="str">
        <f>dados_01!G189</f>
        <v>CRECHE CIRANDA CIRANDINHA</v>
      </c>
      <c r="H189" s="95" t="str">
        <f>dados_01!H189</f>
        <v>REGIONAL 1</v>
      </c>
      <c r="I189" s="95">
        <f>dados_01!I189</f>
        <v>0</v>
      </c>
      <c r="J189" s="95"/>
      <c r="K189" s="95"/>
      <c r="L189" s="95"/>
      <c r="M189" s="95"/>
      <c r="N189" s="95"/>
      <c r="O189" s="95"/>
      <c r="P189" s="95"/>
      <c r="Q189" s="95"/>
      <c r="R189" s="95"/>
      <c r="S189" s="95"/>
      <c r="T189" s="95"/>
      <c r="U189" s="95"/>
      <c r="V189" s="95"/>
      <c r="W189" s="95"/>
      <c r="X189" s="95"/>
      <c r="Y189" s="95"/>
      <c r="Z189" s="95"/>
    </row>
    <row r="190" ht="15.75" customHeight="1" spans="1:26">
      <c r="A190" s="95" t="str">
        <f>dados_01!A190</f>
        <v>15/05/2026 16:29:07</v>
      </c>
      <c r="B190" s="95" t="str">
        <f>dados_01!B190</f>
        <v>5</v>
      </c>
      <c r="C190" s="95" t="str">
        <f>IFERROR(__xludf.DUMMYFUNCTION("JOIN("". "", ARRAYFORMULA(IFERROR(LEFT(SPLIT(dados_01!C190, "" ""), 1))))"),"A. M. L. D. S")</f>
        <v>A. M. L. D. S</v>
      </c>
      <c r="D190" s="95" t="str">
        <f>dados_01!D190</f>
        <v>18/02/2024</v>
      </c>
      <c r="E190" s="95" t="str">
        <f>CONCATENATE(LEFT(dados_01!E190,3),REPT("*",6),RIGHT(dados_01!E190,2))</f>
        <v>002******01</v>
      </c>
      <c r="F190" s="95" t="str">
        <f>dados_01!F190</f>
        <v>INFANTIL 2</v>
      </c>
      <c r="G190" s="95" t="str">
        <f>dados_01!G190</f>
        <v>CRECHE CIRANDA CIRANDINHA</v>
      </c>
      <c r="H190" s="95" t="str">
        <f>dados_01!H190</f>
        <v>REGIONAL 1</v>
      </c>
      <c r="I190" s="95">
        <f>dados_01!I190</f>
        <v>0</v>
      </c>
      <c r="J190" s="95"/>
      <c r="K190" s="95"/>
      <c r="L190" s="95"/>
      <c r="M190" s="95"/>
      <c r="N190" s="95"/>
      <c r="O190" s="95"/>
      <c r="P190" s="95"/>
      <c r="Q190" s="95"/>
      <c r="R190" s="95"/>
      <c r="S190" s="95"/>
      <c r="T190" s="95"/>
      <c r="U190" s="95"/>
      <c r="V190" s="95"/>
      <c r="W190" s="95"/>
      <c r="X190" s="95"/>
      <c r="Y190" s="95"/>
      <c r="Z190" s="95"/>
    </row>
    <row r="191" ht="15.75" customHeight="1" spans="1:26">
      <c r="A191" s="95" t="str">
        <f>dados_01!A191</f>
        <v>26/05/2026 14:30:52</v>
      </c>
      <c r="B191" s="95" t="str">
        <f>dados_01!B191</f>
        <v>6</v>
      </c>
      <c r="C191" s="95" t="str">
        <f>IFERROR(__xludf.DUMMYFUNCTION("JOIN("". "", ARRAYFORMULA(IFERROR(LEFT(SPLIT(dados_01!C191, "" ""), 1))))"),"R. V. R. D. N")</f>
        <v>R. V. R. D. N</v>
      </c>
      <c r="D191" s="95" t="str">
        <f>dados_01!D191</f>
        <v>20/05/2023</v>
      </c>
      <c r="E191" s="95" t="str">
        <f>CONCATENATE(LEFT(dados_01!E191,3),REPT("*",6),RIGHT(dados_01!E191,2))</f>
        <v>000******78</v>
      </c>
      <c r="F191" s="95" t="str">
        <f>dados_01!F191</f>
        <v>INFANTIL 2</v>
      </c>
      <c r="G191" s="95" t="str">
        <f>dados_01!G191</f>
        <v>CRECHE CIRANDA CIRANDINHA</v>
      </c>
      <c r="H191" s="95" t="str">
        <f>dados_01!H191</f>
        <v>REGIONAL 1</v>
      </c>
      <c r="I191" s="95">
        <f>dados_01!I191</f>
        <v>0</v>
      </c>
      <c r="J191" s="95"/>
      <c r="K191" s="95"/>
      <c r="L191" s="95"/>
      <c r="M191" s="95"/>
      <c r="N191" s="95"/>
      <c r="O191" s="95"/>
      <c r="P191" s="95"/>
      <c r="Q191" s="95"/>
      <c r="R191" s="95"/>
      <c r="S191" s="95"/>
      <c r="T191" s="95"/>
      <c r="U191" s="95"/>
      <c r="V191" s="95"/>
      <c r="W191" s="95"/>
      <c r="X191" s="95"/>
      <c r="Y191" s="95"/>
      <c r="Z191" s="95"/>
    </row>
    <row r="192" ht="15.75" customHeight="1" spans="1:26">
      <c r="A192" s="95" t="str">
        <f>dados_01!A192</f>
        <v>28/01/2026 08:23:25</v>
      </c>
      <c r="B192" s="95" t="str">
        <f>dados_01!B192</f>
        <v>1</v>
      </c>
      <c r="C192" s="95" t="str">
        <f>IFERROR(__xludf.DUMMYFUNCTION("JOIN("". "", ARRAYFORMULA(IFERROR(LEFT(SPLIT(dados_01!C192, "" ""), 1))))"),"L. M. D. S. N")</f>
        <v>L. M. D. S. N</v>
      </c>
      <c r="D192" s="95" t="str">
        <f>dados_01!D192</f>
        <v>18/02/2023</v>
      </c>
      <c r="E192" s="95" t="str">
        <f>CONCATENATE(LEFT(dados_01!E192,3),REPT("*",6),RIGHT(dados_01!E192,2))</f>
        <v>184******96</v>
      </c>
      <c r="F192" s="95" t="str">
        <f>dados_01!F192</f>
        <v>INFANTIL 3</v>
      </c>
      <c r="G192" s="95" t="str">
        <f>dados_01!G192</f>
        <v>CRECHE CIRANDA CIRANDINHA</v>
      </c>
      <c r="H192" s="95" t="str">
        <f>dados_01!H192</f>
        <v>REGIONAL 1</v>
      </c>
      <c r="I192" s="95">
        <f>dados_01!I192</f>
        <v>0</v>
      </c>
      <c r="J192" s="95"/>
      <c r="K192" s="95"/>
      <c r="L192" s="95"/>
      <c r="M192" s="95"/>
      <c r="N192" s="95"/>
      <c r="O192" s="95"/>
      <c r="P192" s="95"/>
      <c r="Q192" s="95"/>
      <c r="R192" s="95"/>
      <c r="S192" s="95"/>
      <c r="T192" s="95"/>
      <c r="U192" s="95"/>
      <c r="V192" s="95"/>
      <c r="W192" s="95"/>
      <c r="X192" s="95"/>
      <c r="Y192" s="95"/>
      <c r="Z192" s="95"/>
    </row>
    <row r="193" ht="15.75" customHeight="1" spans="1:26">
      <c r="A193" s="95" t="str">
        <f>dados_01!A193</f>
        <v>30/01/2026 09:24:54</v>
      </c>
      <c r="B193" s="95" t="str">
        <f>dados_01!B193</f>
        <v>2</v>
      </c>
      <c r="C193" s="95" t="str">
        <f>IFERROR(__xludf.DUMMYFUNCTION("JOIN("". "", ARRAYFORMULA(IFERROR(LEFT(SPLIT(dados_01!C193, "" ""), 1))))"),"K. V. M. D. S")</f>
        <v>K. V. M. D. S</v>
      </c>
      <c r="D193" s="95" t="str">
        <f>dados_01!D193</f>
        <v>27/06/2022</v>
      </c>
      <c r="E193" s="95" t="str">
        <f>CONCATENATE(LEFT(dados_01!E193,3),REPT("*",6),RIGHT(dados_01!E193,2))</f>
        <v>182******26</v>
      </c>
      <c r="F193" s="95" t="str">
        <f>dados_01!F193</f>
        <v>INFANTIL 3</v>
      </c>
      <c r="G193" s="95" t="str">
        <f>dados_01!G193</f>
        <v>CRECHE CIRANDA CIRANDINHA</v>
      </c>
      <c r="H193" s="95" t="str">
        <f>dados_01!H193</f>
        <v>REGIONAL 1</v>
      </c>
      <c r="I193" s="95">
        <f>dados_01!I193</f>
        <v>0</v>
      </c>
      <c r="J193" s="95"/>
      <c r="K193" s="95"/>
      <c r="L193" s="95"/>
      <c r="M193" s="95"/>
      <c r="N193" s="95"/>
      <c r="O193" s="95"/>
      <c r="P193" s="95"/>
      <c r="Q193" s="95"/>
      <c r="R193" s="95"/>
      <c r="S193" s="95"/>
      <c r="T193" s="95"/>
      <c r="U193" s="95"/>
      <c r="V193" s="95"/>
      <c r="W193" s="95"/>
      <c r="X193" s="95"/>
      <c r="Y193" s="95"/>
      <c r="Z193" s="95"/>
    </row>
    <row r="194" ht="15.75" customHeight="1" spans="1:26">
      <c r="A194" s="95" t="str">
        <f>dados_01!A194</f>
        <v>02/02/2026 11:47:44</v>
      </c>
      <c r="B194" s="95" t="str">
        <f>dados_01!B194</f>
        <v>3</v>
      </c>
      <c r="C194" s="95" t="str">
        <f>IFERROR(__xludf.DUMMYFUNCTION("JOIN("". "", ARRAYFORMULA(IFERROR(LEFT(SPLIT(dados_01!C194, "" ""), 1))))"),"C. H. A. F")</f>
        <v>C. H. A. F</v>
      </c>
      <c r="D194" s="95" t="str">
        <f>dados_01!D194</f>
        <v>29/01/2023</v>
      </c>
      <c r="E194" s="95" t="str">
        <f>CONCATENATE(LEFT(dados_01!E194,3),REPT("*",6),RIGHT(dados_01!E194,2))</f>
        <v>185******90</v>
      </c>
      <c r="F194" s="95" t="str">
        <f>dados_01!F194</f>
        <v>INFANTIL 3</v>
      </c>
      <c r="G194" s="95" t="str">
        <f>dados_01!G194</f>
        <v>CRECHE CIRANDA CIRANDINHA</v>
      </c>
      <c r="H194" s="95" t="str">
        <f>dados_01!H194</f>
        <v>REGIONAL 1</v>
      </c>
      <c r="I194" s="95">
        <f>dados_01!I194</f>
        <v>0</v>
      </c>
      <c r="J194" s="95"/>
      <c r="K194" s="95"/>
      <c r="L194" s="95"/>
      <c r="M194" s="95"/>
      <c r="N194" s="95"/>
      <c r="O194" s="95"/>
      <c r="P194" s="95"/>
      <c r="Q194" s="95"/>
      <c r="R194" s="95"/>
      <c r="S194" s="95"/>
      <c r="T194" s="95"/>
      <c r="U194" s="95"/>
      <c r="V194" s="95"/>
      <c r="W194" s="95"/>
      <c r="X194" s="95"/>
      <c r="Y194" s="95"/>
      <c r="Z194" s="95"/>
    </row>
    <row r="195" ht="15.75" customHeight="1" spans="1:26">
      <c r="A195" s="95" t="str">
        <f>dados_01!A195</f>
        <v>09/02/2026 19:24:03</v>
      </c>
      <c r="B195" s="95" t="str">
        <f>dados_01!B195</f>
        <v>4</v>
      </c>
      <c r="C195" s="95" t="str">
        <f>IFERROR(__xludf.DUMMYFUNCTION("JOIN("". "", ARRAYFORMULA(IFERROR(LEFT(SPLIT(dados_01!C195, "" ""), 1))))"),"T. A. O. S")</f>
        <v>T. A. O. S</v>
      </c>
      <c r="D195" s="95" t="str">
        <f>dados_01!D195</f>
        <v>29/01/2023</v>
      </c>
      <c r="E195" s="95" t="str">
        <f>CONCATENATE(LEFT(dados_01!E195,3),REPT("*",6),RIGHT(dados_01!E195,2))</f>
        <v>184******12</v>
      </c>
      <c r="F195" s="95" t="str">
        <f>dados_01!F195</f>
        <v>INFANTIL 3</v>
      </c>
      <c r="G195" s="95" t="str">
        <f>dados_01!G195</f>
        <v>CRECHE CIRANDA CIRANDINHA</v>
      </c>
      <c r="H195" s="95" t="str">
        <f>dados_01!H195</f>
        <v>REGIONAL 1</v>
      </c>
      <c r="I195" s="95">
        <f>dados_01!I195</f>
        <v>0</v>
      </c>
      <c r="J195" s="95"/>
      <c r="K195" s="95"/>
      <c r="L195" s="95"/>
      <c r="M195" s="95"/>
      <c r="N195" s="95"/>
      <c r="O195" s="95"/>
      <c r="P195" s="95"/>
      <c r="Q195" s="95"/>
      <c r="R195" s="95"/>
      <c r="S195" s="95"/>
      <c r="T195" s="95"/>
      <c r="U195" s="95"/>
      <c r="V195" s="95"/>
      <c r="W195" s="95"/>
      <c r="X195" s="95"/>
      <c r="Y195" s="95"/>
      <c r="Z195" s="95"/>
    </row>
    <row r="196" ht="15.75" customHeight="1" spans="1:26">
      <c r="A196" s="95" t="str">
        <f>dados_01!A196</f>
        <v>26/02/2026 23:38:28</v>
      </c>
      <c r="B196" s="95" t="str">
        <f>dados_01!B196</f>
        <v>5</v>
      </c>
      <c r="C196" s="95" t="str">
        <f>IFERROR(__xludf.DUMMYFUNCTION("JOIN("". "", ARRAYFORMULA(IFERROR(LEFT(SPLIT(dados_01!C196, "" ""), 1))))"),"C. E. D. S. R")</f>
        <v>C. E. D. S. R</v>
      </c>
      <c r="D196" s="95" t="str">
        <f>dados_01!D196</f>
        <v>04/06/2022</v>
      </c>
      <c r="E196" s="95" t="str">
        <f>CONCATENATE(LEFT(dados_01!E196,3),REPT("*",6),RIGHT(dados_01!E196,2))</f>
        <v>181******48</v>
      </c>
      <c r="F196" s="95" t="str">
        <f>dados_01!F196</f>
        <v>INFANTIL 3</v>
      </c>
      <c r="G196" s="95" t="str">
        <f>dados_01!G196</f>
        <v>CRECHE CIRANDA CIRANDINHA</v>
      </c>
      <c r="H196" s="95" t="str">
        <f>dados_01!H196</f>
        <v>REGIONAL 1</v>
      </c>
      <c r="I196" s="95">
        <f>dados_01!I196</f>
        <v>0</v>
      </c>
      <c r="J196" s="95"/>
      <c r="K196" s="95"/>
      <c r="L196" s="95"/>
      <c r="M196" s="95"/>
      <c r="N196" s="95"/>
      <c r="O196" s="95"/>
      <c r="P196" s="95"/>
      <c r="Q196" s="95"/>
      <c r="R196" s="95"/>
      <c r="S196" s="95"/>
      <c r="T196" s="95"/>
      <c r="U196" s="95"/>
      <c r="V196" s="95"/>
      <c r="W196" s="95"/>
      <c r="X196" s="95"/>
      <c r="Y196" s="95"/>
      <c r="Z196" s="95"/>
    </row>
    <row r="197" ht="15.75" customHeight="1" spans="1:26">
      <c r="A197" s="95" t="str">
        <f>dados_01!A197</f>
        <v>24/03/2026 10:37:29</v>
      </c>
      <c r="B197" s="95" t="str">
        <f>dados_01!B197</f>
        <v>6</v>
      </c>
      <c r="C197" s="95" t="str">
        <f>IFERROR(__xludf.DUMMYFUNCTION("JOIN("". "", ARRAYFORMULA(IFERROR(LEFT(SPLIT(dados_01!C197, "" ""), 1))))"),"R. M. S. C. F")</f>
        <v>R. M. S. C. F</v>
      </c>
      <c r="D197" s="95" t="str">
        <f>dados_01!D197</f>
        <v>20/08/2022</v>
      </c>
      <c r="E197" s="95" t="str">
        <f>CONCATENATE(LEFT(dados_01!E197,3),REPT("*",6),RIGHT(dados_01!E197,2))</f>
        <v>182******17</v>
      </c>
      <c r="F197" s="95" t="str">
        <f>dados_01!F197</f>
        <v>INFANTIL 3</v>
      </c>
      <c r="G197" s="95" t="str">
        <f>dados_01!G197</f>
        <v>CRECHE CIRANDA CIRANDINHA</v>
      </c>
      <c r="H197" s="95" t="str">
        <f>dados_01!H197</f>
        <v>REGIONAL 1</v>
      </c>
      <c r="I197" s="95">
        <f>dados_01!I197</f>
        <v>0</v>
      </c>
      <c r="J197" s="95"/>
      <c r="K197" s="95"/>
      <c r="L197" s="95"/>
      <c r="M197" s="95"/>
      <c r="N197" s="95"/>
      <c r="O197" s="95"/>
      <c r="P197" s="95"/>
      <c r="Q197" s="95"/>
      <c r="R197" s="95"/>
      <c r="S197" s="95"/>
      <c r="T197" s="95"/>
      <c r="U197" s="95"/>
      <c r="V197" s="95"/>
      <c r="W197" s="95"/>
      <c r="X197" s="95"/>
      <c r="Y197" s="95"/>
      <c r="Z197" s="95"/>
    </row>
    <row r="198" ht="15.75" customHeight="1" spans="1:26">
      <c r="A198" s="95" t="str">
        <f>dados_01!A198</f>
        <v>23/04/2026 12:52:15</v>
      </c>
      <c r="B198" s="95" t="str">
        <f>dados_01!B198</f>
        <v>7</v>
      </c>
      <c r="C198" s="95" t="str">
        <f>IFERROR(__xludf.DUMMYFUNCTION("JOIN("". "", ARRAYFORMULA(IFERROR(LEFT(SPLIT(dados_01!C198, "" ""), 1))))"),"Y. M. D. S. G")</f>
        <v>Y. M. D. S. G</v>
      </c>
      <c r="D198" s="95" t="str">
        <f>dados_01!D198</f>
        <v>20/05/2022</v>
      </c>
      <c r="E198" s="95" t="str">
        <f>CONCATENATE(LEFT(dados_01!E198,3),REPT("*",6),RIGHT(dados_01!E198,2))</f>
        <v>181******04</v>
      </c>
      <c r="F198" s="95" t="str">
        <f>dados_01!F198</f>
        <v>INFANTIL 3</v>
      </c>
      <c r="G198" s="95" t="str">
        <f>dados_01!G198</f>
        <v>CRECHE CIRANDA CIRANDINHA</v>
      </c>
      <c r="H198" s="95" t="str">
        <f>dados_01!H198</f>
        <v>REGIONAL 1</v>
      </c>
      <c r="I198" s="95">
        <f>dados_01!I198</f>
        <v>0</v>
      </c>
      <c r="J198" s="95"/>
      <c r="K198" s="95"/>
      <c r="L198" s="95"/>
      <c r="M198" s="95"/>
      <c r="N198" s="95"/>
      <c r="O198" s="95"/>
      <c r="P198" s="95"/>
      <c r="Q198" s="95"/>
      <c r="R198" s="95"/>
      <c r="S198" s="95"/>
      <c r="T198" s="95"/>
      <c r="U198" s="95"/>
      <c r="V198" s="95"/>
      <c r="W198" s="95"/>
      <c r="X198" s="95"/>
      <c r="Y198" s="95"/>
      <c r="Z198" s="95"/>
    </row>
    <row r="199" ht="15.75" customHeight="1" spans="1:26">
      <c r="A199" s="95" t="str">
        <f>dados_01!A199</f>
        <v>26/03/2026 13:48:28</v>
      </c>
      <c r="B199" s="95" t="str">
        <f>dados_01!B199</f>
        <v>1</v>
      </c>
      <c r="C199" s="95" t="str">
        <f>IFERROR(__xludf.DUMMYFUNCTION("JOIN("". "", ARRAYFORMULA(IFERROR(LEFT(SPLIT(dados_01!C199, "" ""), 1))))"),"R. S. J")</f>
        <v>R. S. J</v>
      </c>
      <c r="D199" s="95" t="str">
        <f>dados_01!D199</f>
        <v>07/02/2025</v>
      </c>
      <c r="E199" s="95" t="str">
        <f>CONCATENATE(LEFT(dados_01!E199,3),REPT("*",6),RIGHT(dados_01!E199,2))</f>
        <v>005******01</v>
      </c>
      <c r="F199" s="95" t="str">
        <f>dados_01!F199</f>
        <v>INFANTIL 1</v>
      </c>
      <c r="G199" s="95" t="str">
        <f>dados_01!G199</f>
        <v>CRECHE MERCIA DE ALBUQUERQUE</v>
      </c>
      <c r="H199" s="95" t="str">
        <f>dados_01!H199</f>
        <v>REGIONAL 6</v>
      </c>
      <c r="I199" s="95">
        <f>dados_01!I199</f>
        <v>0</v>
      </c>
      <c r="J199" s="95"/>
      <c r="K199" s="95"/>
      <c r="L199" s="95"/>
      <c r="M199" s="95"/>
      <c r="N199" s="95"/>
      <c r="O199" s="95"/>
      <c r="P199" s="95"/>
      <c r="Q199" s="95"/>
      <c r="R199" s="95"/>
      <c r="S199" s="95"/>
      <c r="T199" s="95"/>
      <c r="U199" s="95"/>
      <c r="V199" s="95"/>
      <c r="W199" s="95"/>
      <c r="X199" s="95"/>
      <c r="Y199" s="95"/>
      <c r="Z199" s="95"/>
    </row>
    <row r="200" ht="15.75" customHeight="1" spans="1:26">
      <c r="A200" s="95" t="str">
        <f>dados_01!A200</f>
        <v>08/04/2026 10:22:51</v>
      </c>
      <c r="B200" s="95" t="str">
        <f>dados_01!B200</f>
        <v>2</v>
      </c>
      <c r="C200" s="95" t="str">
        <f>IFERROR(__xludf.DUMMYFUNCTION("JOIN("". "", ARRAYFORMULA(IFERROR(LEFT(SPLIT(dados_01!C200, "" ""), 1))))"),"A. A. R. D. S")</f>
        <v>A. A. R. D. S</v>
      </c>
      <c r="D200" s="95" t="str">
        <f>dados_01!D200</f>
        <v>29/07/2025</v>
      </c>
      <c r="E200" s="95" t="str">
        <f>CONCATENATE(LEFT(dados_01!E200,3),REPT("*",6),RIGHT(dados_01!E200,2))</f>
        <v>006******82</v>
      </c>
      <c r="F200" s="95" t="str">
        <f>dados_01!F200</f>
        <v>INFANTIL 1</v>
      </c>
      <c r="G200" s="95" t="str">
        <f>dados_01!G200</f>
        <v>CRECHE MERCIA DE ALBUQUERQUE</v>
      </c>
      <c r="H200" s="95" t="str">
        <f>dados_01!H200</f>
        <v>REGIONAL 6</v>
      </c>
      <c r="I200" s="95">
        <f>dados_01!I200</f>
        <v>0</v>
      </c>
      <c r="J200" s="95"/>
      <c r="K200" s="95"/>
      <c r="L200" s="95"/>
      <c r="M200" s="95"/>
      <c r="N200" s="95"/>
      <c r="O200" s="95"/>
      <c r="P200" s="95"/>
      <c r="Q200" s="95"/>
      <c r="R200" s="95"/>
      <c r="S200" s="95"/>
      <c r="T200" s="95"/>
      <c r="U200" s="95"/>
      <c r="V200" s="95"/>
      <c r="W200" s="95"/>
      <c r="X200" s="95"/>
      <c r="Y200" s="95"/>
      <c r="Z200" s="95"/>
    </row>
    <row r="201" ht="15.75" customHeight="1" spans="1:26">
      <c r="A201" s="95" t="str">
        <f>dados_01!A201</f>
        <v>11/04/2026 18:35:35</v>
      </c>
      <c r="B201" s="95" t="str">
        <f>dados_01!B201</f>
        <v>3</v>
      </c>
      <c r="C201" s="95" t="str">
        <f>IFERROR(__xludf.DUMMYFUNCTION("JOIN("". "", ARRAYFORMULA(IFERROR(LEFT(SPLIT(dados_01!C201, "" ""), 1))))"),"E. G. O. D. S")</f>
        <v>E. G. O. D. S</v>
      </c>
      <c r="D201" s="95" t="str">
        <f>dados_01!D201</f>
        <v>24/08/2025</v>
      </c>
      <c r="E201" s="95" t="str">
        <f>CONCATENATE(LEFT(dados_01!E201,3),REPT("*",6),RIGHT(dados_01!E201,2))</f>
        <v>713******82</v>
      </c>
      <c r="F201" s="95" t="str">
        <f>dados_01!F201</f>
        <v>INFANTIL 1</v>
      </c>
      <c r="G201" s="95" t="str">
        <f>dados_01!G201</f>
        <v>CRECHE MERCIA DE ALBUQUERQUE</v>
      </c>
      <c r="H201" s="95" t="str">
        <f>dados_01!H201</f>
        <v>REGIONAL 6</v>
      </c>
      <c r="I201" s="95">
        <f>dados_01!I201</f>
        <v>0</v>
      </c>
      <c r="J201" s="95"/>
      <c r="K201" s="95"/>
      <c r="L201" s="95"/>
      <c r="M201" s="95"/>
      <c r="N201" s="95"/>
      <c r="O201" s="95"/>
      <c r="P201" s="95"/>
      <c r="Q201" s="95"/>
      <c r="R201" s="95"/>
      <c r="S201" s="95"/>
      <c r="T201" s="95"/>
      <c r="U201" s="95"/>
      <c r="V201" s="95"/>
      <c r="W201" s="95"/>
      <c r="X201" s="95"/>
      <c r="Y201" s="95"/>
      <c r="Z201" s="95"/>
    </row>
    <row r="202" ht="15.75" customHeight="1" spans="1:26">
      <c r="A202" s="95" t="str">
        <f>dados_01!A202</f>
        <v>29/04/2026 15:30:17</v>
      </c>
      <c r="B202" s="95" t="str">
        <f>dados_01!B202</f>
        <v>4</v>
      </c>
      <c r="C202" s="95" t="str">
        <f>IFERROR(__xludf.DUMMYFUNCTION("JOIN("". "", ARRAYFORMULA(IFERROR(LEFT(SPLIT(dados_01!C202, "" ""), 1))))"),"A. B. V. D. A")</f>
        <v>A. B. V. D. A</v>
      </c>
      <c r="D202" s="95" t="str">
        <f>dados_01!D202</f>
        <v>04/10/2024</v>
      </c>
      <c r="E202" s="95" t="str">
        <f>CONCATENATE(LEFT(dados_01!E202,3),REPT("*",6),RIGHT(dados_01!E202,2))</f>
        <v>004******95</v>
      </c>
      <c r="F202" s="95" t="str">
        <f>dados_01!F202</f>
        <v>INFANTIL 1</v>
      </c>
      <c r="G202" s="95" t="str">
        <f>dados_01!G202</f>
        <v>CRECHE MERCIA DE ALBUQUERQUE</v>
      </c>
      <c r="H202" s="95" t="str">
        <f>dados_01!H202</f>
        <v>REGIONAL 6</v>
      </c>
      <c r="I202" s="95">
        <f>dados_01!I202</f>
        <v>0</v>
      </c>
      <c r="J202" s="95"/>
      <c r="K202" s="95"/>
      <c r="L202" s="95"/>
      <c r="M202" s="95"/>
      <c r="N202" s="95"/>
      <c r="O202" s="95"/>
      <c r="P202" s="95"/>
      <c r="Q202" s="95"/>
      <c r="R202" s="95"/>
      <c r="S202" s="95"/>
      <c r="T202" s="95"/>
      <c r="U202" s="95"/>
      <c r="V202" s="95"/>
      <c r="W202" s="95"/>
      <c r="X202" s="95"/>
      <c r="Y202" s="95"/>
      <c r="Z202" s="95"/>
    </row>
    <row r="203" ht="15.75" customHeight="1" spans="1:26">
      <c r="A203" s="95" t="str">
        <f>dados_01!A203</f>
        <v>04/05/2026 08:16:27</v>
      </c>
      <c r="B203" s="95" t="str">
        <f>dados_01!B203</f>
        <v>5</v>
      </c>
      <c r="C203" s="95" t="str">
        <f>IFERROR(__xludf.DUMMYFUNCTION("JOIN("". "", ARRAYFORMULA(IFERROR(LEFT(SPLIT(dados_01!C203, "" ""), 1))))"),"K. C. T. L. B")</f>
        <v>K. C. T. L. B</v>
      </c>
      <c r="D203" s="95" t="str">
        <f>dados_01!D203</f>
        <v>24/08/2024</v>
      </c>
      <c r="E203" s="95" t="str">
        <f>CONCATENATE(LEFT(dados_01!E203,3),REPT("*",6),RIGHT(dados_01!E203,2))</f>
        <v>003******44</v>
      </c>
      <c r="F203" s="95" t="str">
        <f>dados_01!F203</f>
        <v>INFANTIL 1</v>
      </c>
      <c r="G203" s="95" t="str">
        <f>dados_01!G203</f>
        <v>CRECHE MERCIA DE ALBUQUERQUE</v>
      </c>
      <c r="H203" s="95" t="str">
        <f>dados_01!H203</f>
        <v>REGIONAL 6</v>
      </c>
      <c r="I203" s="95">
        <f>dados_01!I203</f>
        <v>0</v>
      </c>
      <c r="J203" s="95"/>
      <c r="K203" s="95"/>
      <c r="L203" s="95"/>
      <c r="M203" s="95"/>
      <c r="N203" s="95"/>
      <c r="O203" s="95"/>
      <c r="P203" s="95"/>
      <c r="Q203" s="95"/>
      <c r="R203" s="95"/>
      <c r="S203" s="95"/>
      <c r="T203" s="95"/>
      <c r="U203" s="95"/>
      <c r="V203" s="95"/>
      <c r="W203" s="95"/>
      <c r="X203" s="95"/>
      <c r="Y203" s="95"/>
      <c r="Z203" s="95"/>
    </row>
    <row r="204" ht="15.75" customHeight="1" spans="1:26">
      <c r="A204" s="95" t="str">
        <f>dados_01!A204</f>
        <v>21/05/2026 14:53:13</v>
      </c>
      <c r="B204" s="95" t="str">
        <f>dados_01!B204</f>
        <v>6</v>
      </c>
      <c r="C204" s="95" t="str">
        <f>IFERROR(__xludf.DUMMYFUNCTION("JOIN("". "", ARRAYFORMULA(IFERROR(LEFT(SPLIT(dados_01!C204, "" ""), 1))))"),"E. P. d. M. F")</f>
        <v>E. P. d. M. F</v>
      </c>
      <c r="D204" s="95" t="str">
        <f>dados_01!D204</f>
        <v>30/12/2025</v>
      </c>
      <c r="E204" s="95" t="str">
        <f>CONCATENATE(LEFT(dados_01!E204,3),REPT("*",6),RIGHT(dados_01!E204,2))</f>
        <v>034******72</v>
      </c>
      <c r="F204" s="95" t="str">
        <f>dados_01!F204</f>
        <v>INFANTIL 1</v>
      </c>
      <c r="G204" s="95" t="str">
        <f>dados_01!G204</f>
        <v>CRECHE MERCIA DE ALBUQUERQUE</v>
      </c>
      <c r="H204" s="95" t="str">
        <f>dados_01!H204</f>
        <v>REGIONAL 6</v>
      </c>
      <c r="I204" s="95">
        <f>dados_01!I204</f>
        <v>0</v>
      </c>
      <c r="J204" s="95"/>
      <c r="K204" s="95"/>
      <c r="L204" s="95"/>
      <c r="M204" s="95"/>
      <c r="N204" s="95"/>
      <c r="O204" s="95"/>
      <c r="P204" s="95"/>
      <c r="Q204" s="95"/>
      <c r="R204" s="95"/>
      <c r="S204" s="95"/>
      <c r="T204" s="95"/>
      <c r="U204" s="95"/>
      <c r="V204" s="95"/>
      <c r="W204" s="95"/>
      <c r="X204" s="95"/>
      <c r="Y204" s="95"/>
      <c r="Z204" s="95"/>
    </row>
    <row r="205" ht="15.75" customHeight="1" spans="1:26">
      <c r="A205" s="95" t="str">
        <f>dados_01!A205</f>
        <v>30/01/2026 10:49:18</v>
      </c>
      <c r="B205" s="95" t="str">
        <f>dados_01!B205</f>
        <v>1</v>
      </c>
      <c r="C205" s="95" t="str">
        <f>IFERROR(__xludf.DUMMYFUNCTION("JOIN("". "", ARRAYFORMULA(IFERROR(LEFT(SPLIT(dados_01!C205, "" ""), 1))))"),"E. C")</f>
        <v>E. C</v>
      </c>
      <c r="D205" s="95" t="str">
        <f>dados_01!D205</f>
        <v>25/09/2023</v>
      </c>
      <c r="E205" s="95" t="str">
        <f>CONCATENATE(LEFT(dados_01!E205,3),REPT("*",6),RIGHT(dados_01!E205,2))</f>
        <v>002******62</v>
      </c>
      <c r="F205" s="95" t="str">
        <f>dados_01!F205</f>
        <v>INFANTIL 2</v>
      </c>
      <c r="G205" s="95" t="str">
        <f>dados_01!G205</f>
        <v>CRECHE MERCIA DE ALBUQUERQUE</v>
      </c>
      <c r="H205" s="95" t="str">
        <f>dados_01!H205</f>
        <v>REGIONAL 6</v>
      </c>
      <c r="I205" s="95">
        <f>dados_01!I205</f>
        <v>0</v>
      </c>
      <c r="J205" s="95"/>
      <c r="K205" s="95"/>
      <c r="L205" s="95"/>
      <c r="M205" s="95"/>
      <c r="N205" s="95"/>
      <c r="O205" s="95"/>
      <c r="P205" s="95"/>
      <c r="Q205" s="95"/>
      <c r="R205" s="95"/>
      <c r="S205" s="95"/>
      <c r="T205" s="95"/>
      <c r="U205" s="95"/>
      <c r="V205" s="95"/>
      <c r="W205" s="95"/>
      <c r="X205" s="95"/>
      <c r="Y205" s="95"/>
      <c r="Z205" s="95"/>
    </row>
    <row r="206" ht="15.75" customHeight="1" spans="1:26">
      <c r="A206" s="95" t="str">
        <f>dados_01!A206</f>
        <v>02/03/2026 15:50:23</v>
      </c>
      <c r="B206" s="95" t="str">
        <f>dados_01!B206</f>
        <v>2</v>
      </c>
      <c r="C206" s="95" t="str">
        <f>IFERROR(__xludf.DUMMYFUNCTION("JOIN("". "", ARRAYFORMULA(IFERROR(LEFT(SPLIT(dados_01!C206, "" ""), 1))))"),"J. H. D. S. F")</f>
        <v>J. H. D. S. F</v>
      </c>
      <c r="D206" s="95" t="str">
        <f>dados_01!D206</f>
        <v>25/07/2023</v>
      </c>
      <c r="E206" s="95" t="str">
        <f>CONCATENATE(LEFT(dados_01!E206,3),REPT("*",6),RIGHT(dados_01!E206,2))</f>
        <v>186******29</v>
      </c>
      <c r="F206" s="95" t="str">
        <f>dados_01!F206</f>
        <v>INFANTIL 2</v>
      </c>
      <c r="G206" s="95" t="str">
        <f>dados_01!G206</f>
        <v>CRECHE MERCIA DE ALBUQUERQUE</v>
      </c>
      <c r="H206" s="95" t="str">
        <f>dados_01!H206</f>
        <v>REGIONAL 6</v>
      </c>
      <c r="I206" s="95">
        <f>dados_01!I206</f>
        <v>0</v>
      </c>
      <c r="J206" s="95"/>
      <c r="K206" s="95"/>
      <c r="L206" s="95"/>
      <c r="M206" s="95"/>
      <c r="N206" s="95"/>
      <c r="O206" s="95"/>
      <c r="P206" s="95"/>
      <c r="Q206" s="95"/>
      <c r="R206" s="95"/>
      <c r="S206" s="95"/>
      <c r="T206" s="95"/>
      <c r="U206" s="95"/>
      <c r="V206" s="95"/>
      <c r="W206" s="95"/>
      <c r="X206" s="95"/>
      <c r="Y206" s="95"/>
      <c r="Z206" s="95"/>
    </row>
    <row r="207" ht="15.75" customHeight="1" spans="1:26">
      <c r="A207" s="95" t="str">
        <f>dados_01!A207</f>
        <v>11/03/2026 07:47:14</v>
      </c>
      <c r="B207" s="95" t="str">
        <f>dados_01!B207</f>
        <v>3</v>
      </c>
      <c r="C207" s="95" t="str">
        <f>IFERROR(__xludf.DUMMYFUNCTION("JOIN("". "", ARRAYFORMULA(IFERROR(LEFT(SPLIT(dados_01!C207, "" ""), 1))))"),"T. D. B. D. S")</f>
        <v>T. D. B. D. S</v>
      </c>
      <c r="D207" s="95" t="str">
        <f>dados_01!D207</f>
        <v>22/09/2023</v>
      </c>
      <c r="E207" s="95" t="str">
        <f>CONCATENATE(LEFT(dados_01!E207,3),REPT("*",6),RIGHT(dados_01!E207,2))</f>
        <v>000******40</v>
      </c>
      <c r="F207" s="95" t="str">
        <f>dados_01!F207</f>
        <v>INFANTIL 2</v>
      </c>
      <c r="G207" s="95" t="str">
        <f>dados_01!G207</f>
        <v>CRECHE MERCIA DE ALBUQUERQUE</v>
      </c>
      <c r="H207" s="95" t="str">
        <f>dados_01!H207</f>
        <v>REGIONAL 6</v>
      </c>
      <c r="I207" s="95">
        <f>dados_01!I207</f>
        <v>0</v>
      </c>
      <c r="J207" s="95"/>
      <c r="K207" s="95"/>
      <c r="L207" s="95"/>
      <c r="M207" s="95"/>
      <c r="N207" s="95"/>
      <c r="O207" s="95"/>
      <c r="P207" s="95"/>
      <c r="Q207" s="95"/>
      <c r="R207" s="95"/>
      <c r="S207" s="95"/>
      <c r="T207" s="95"/>
      <c r="U207" s="95"/>
      <c r="V207" s="95"/>
      <c r="W207" s="95"/>
      <c r="X207" s="95"/>
      <c r="Y207" s="95"/>
      <c r="Z207" s="95"/>
    </row>
    <row r="208" ht="15.75" customHeight="1" spans="1:26">
      <c r="A208" s="95" t="str">
        <f>dados_01!A208</f>
        <v>25/03/2026 13:04:37</v>
      </c>
      <c r="B208" s="95" t="str">
        <f>dados_01!B208</f>
        <v>4</v>
      </c>
      <c r="C208" s="95" t="str">
        <f>IFERROR(__xludf.DUMMYFUNCTION("JOIN("". "", ARRAYFORMULA(IFERROR(LEFT(SPLIT(dados_01!C208, "" ""), 1))))"),"B. L. S. D. S")</f>
        <v>B. L. S. D. S</v>
      </c>
      <c r="D208" s="95" t="str">
        <f>dados_01!D208</f>
        <v>14/10/2023</v>
      </c>
      <c r="E208" s="95" t="str">
        <f>CONCATENATE(LEFT(dados_01!E208,3),REPT("*",6),RIGHT(dados_01!E208,2))</f>
        <v>000******08</v>
      </c>
      <c r="F208" s="95" t="str">
        <f>dados_01!F208</f>
        <v>INFANTIL 2</v>
      </c>
      <c r="G208" s="95" t="str">
        <f>dados_01!G208</f>
        <v>CRECHE MERCIA DE ALBUQUERQUE</v>
      </c>
      <c r="H208" s="95" t="str">
        <f>dados_01!H208</f>
        <v>REGIONAL 6</v>
      </c>
      <c r="I208" s="95">
        <f>dados_01!I208</f>
        <v>0</v>
      </c>
      <c r="J208" s="95"/>
      <c r="K208" s="95"/>
      <c r="L208" s="95"/>
      <c r="M208" s="95"/>
      <c r="N208" s="95"/>
      <c r="O208" s="95"/>
      <c r="P208" s="95"/>
      <c r="Q208" s="95"/>
      <c r="R208" s="95"/>
      <c r="S208" s="95"/>
      <c r="T208" s="95"/>
      <c r="U208" s="95"/>
      <c r="V208" s="95"/>
      <c r="W208" s="95"/>
      <c r="X208" s="95"/>
      <c r="Y208" s="95"/>
      <c r="Z208" s="95"/>
    </row>
    <row r="209" ht="15.75" customHeight="1" spans="1:26">
      <c r="A209" s="95" t="str">
        <f>dados_01!A209</f>
        <v>29/01/2026 13:35:30</v>
      </c>
      <c r="B209" s="95" t="str">
        <f>dados_01!B209</f>
        <v>1</v>
      </c>
      <c r="C209" s="95" t="str">
        <f>IFERROR(__xludf.DUMMYFUNCTION("JOIN("". "", ARRAYFORMULA(IFERROR(LEFT(SPLIT(dados_01!C209, "" ""), 1))))"),"J. D. D. S")</f>
        <v>J. D. D. S</v>
      </c>
      <c r="D209" s="95" t="str">
        <f>dados_01!D209</f>
        <v>26/08/2024</v>
      </c>
      <c r="E209" s="95" t="str">
        <f>CONCATENATE(LEFT(dados_01!E209,3),REPT("*",6),RIGHT(dados_01!E209,2))</f>
        <v>003******39</v>
      </c>
      <c r="F209" s="95" t="str">
        <f>dados_01!F209</f>
        <v>INFANTIL 1</v>
      </c>
      <c r="G209" s="95" t="str">
        <f>dados_01!G209</f>
        <v>CRECHE MUNDO ENCANTADO</v>
      </c>
      <c r="H209" s="95" t="str">
        <f>dados_01!H209</f>
        <v>REGIONAL 3</v>
      </c>
      <c r="I209" s="95">
        <f>dados_01!I209</f>
        <v>0</v>
      </c>
      <c r="J209" s="95"/>
      <c r="K209" s="95"/>
      <c r="L209" s="95"/>
      <c r="M209" s="95"/>
      <c r="N209" s="95"/>
      <c r="O209" s="95"/>
      <c r="P209" s="95"/>
      <c r="Q209" s="95"/>
      <c r="R209" s="95"/>
      <c r="S209" s="95"/>
      <c r="T209" s="95"/>
      <c r="U209" s="95"/>
      <c r="V209" s="95"/>
      <c r="W209" s="95"/>
      <c r="X209" s="95"/>
      <c r="Y209" s="95"/>
      <c r="Z209" s="95"/>
    </row>
    <row r="210" ht="15.75" customHeight="1" spans="1:26">
      <c r="A210" s="95" t="str">
        <f>dados_01!A210</f>
        <v>29/01/2026 14:12:29</v>
      </c>
      <c r="B210" s="95" t="str">
        <f>dados_01!B210</f>
        <v>2</v>
      </c>
      <c r="C210" s="95" t="str">
        <f>IFERROR(__xludf.DUMMYFUNCTION("JOIN("". "", ARRAYFORMULA(IFERROR(LEFT(SPLIT(dados_01!C210, "" ""), 1))))"),"J. F. B. D. S. C")</f>
        <v>J. F. B. D. S. C</v>
      </c>
      <c r="D210" s="95" t="str">
        <f>dados_01!D210</f>
        <v>13/03/2025</v>
      </c>
      <c r="E210" s="95" t="str">
        <f>CONCATENATE(LEFT(dados_01!E210,3),REPT("*",6),RIGHT(dados_01!E210,2))</f>
        <v>006******02</v>
      </c>
      <c r="F210" s="95" t="str">
        <f>dados_01!F210</f>
        <v>INFANTIL 1</v>
      </c>
      <c r="G210" s="95" t="str">
        <f>dados_01!G210</f>
        <v>CRECHE MUNDO ENCANTADO</v>
      </c>
      <c r="H210" s="95" t="str">
        <f>dados_01!H210</f>
        <v>REGIONAL 3</v>
      </c>
      <c r="I210" s="95">
        <f>dados_01!I210</f>
        <v>0</v>
      </c>
      <c r="J210" s="95"/>
      <c r="K210" s="95"/>
      <c r="L210" s="95"/>
      <c r="M210" s="95"/>
      <c r="N210" s="95"/>
      <c r="O210" s="95"/>
      <c r="P210" s="95"/>
      <c r="Q210" s="95"/>
      <c r="R210" s="95"/>
      <c r="S210" s="95"/>
      <c r="T210" s="95"/>
      <c r="U210" s="95"/>
      <c r="V210" s="95"/>
      <c r="W210" s="95"/>
      <c r="X210" s="95"/>
      <c r="Y210" s="95"/>
      <c r="Z210" s="95"/>
    </row>
    <row r="211" ht="15.75" customHeight="1" spans="1:26">
      <c r="A211" s="95" t="str">
        <f>dados_01!A211</f>
        <v>19/02/2026 21:16:01</v>
      </c>
      <c r="B211" s="95" t="str">
        <f>dados_01!B211</f>
        <v>3</v>
      </c>
      <c r="C211" s="95" t="str">
        <f>IFERROR(__xludf.DUMMYFUNCTION("JOIN("". "", ARRAYFORMULA(IFERROR(LEFT(SPLIT(dados_01!C211, "" ""), 1))))"),"H. A. D. S")</f>
        <v>H. A. D. S</v>
      </c>
      <c r="D211" s="95" t="str">
        <f>dados_01!D211</f>
        <v>19/05/2024</v>
      </c>
      <c r="E211" s="95" t="str">
        <f>CONCATENATE(LEFT(dados_01!E211,3),REPT("*",6),RIGHT(dados_01!E211,2))</f>
        <v>003******24</v>
      </c>
      <c r="F211" s="95" t="str">
        <f>dados_01!F211</f>
        <v>INFANTIL 1</v>
      </c>
      <c r="G211" s="95" t="str">
        <f>dados_01!G211</f>
        <v>CRECHE MUNDO ENCANTADO</v>
      </c>
      <c r="H211" s="95" t="str">
        <f>dados_01!H211</f>
        <v>REGIONAL 3</v>
      </c>
      <c r="I211" s="95">
        <f>dados_01!I211</f>
        <v>0</v>
      </c>
      <c r="J211" s="95"/>
      <c r="K211" s="95"/>
      <c r="L211" s="95"/>
      <c r="M211" s="95"/>
      <c r="N211" s="95"/>
      <c r="O211" s="95"/>
      <c r="P211" s="95"/>
      <c r="Q211" s="95"/>
      <c r="R211" s="95"/>
      <c r="S211" s="95"/>
      <c r="T211" s="95"/>
      <c r="U211" s="95"/>
      <c r="V211" s="95"/>
      <c r="W211" s="95"/>
      <c r="X211" s="95"/>
      <c r="Y211" s="95"/>
      <c r="Z211" s="95"/>
    </row>
    <row r="212" ht="15.75" customHeight="1" spans="1:26">
      <c r="A212" s="95" t="str">
        <f>dados_01!A212</f>
        <v>28/02/2026 20:58:43</v>
      </c>
      <c r="B212" s="95" t="str">
        <f>dados_01!B212</f>
        <v>4</v>
      </c>
      <c r="C212" s="95" t="str">
        <f>IFERROR(__xludf.DUMMYFUNCTION("JOIN("". "", ARRAYFORMULA(IFERROR(LEFT(SPLIT(dados_01!C212, "" ""), 1))))"),"L. G. P. D. S")</f>
        <v>L. G. P. D. S</v>
      </c>
      <c r="D212" s="95" t="str">
        <f>dados_01!D212</f>
        <v>12/04/2025</v>
      </c>
      <c r="E212" s="95" t="str">
        <f>CONCATENATE(LEFT(dados_01!E212,3),REPT("*",6),RIGHT(dados_01!E212,2))</f>
        <v>005******46</v>
      </c>
      <c r="F212" s="95" t="str">
        <f>dados_01!F212</f>
        <v>INFANTIL 1</v>
      </c>
      <c r="G212" s="95" t="str">
        <f>dados_01!G212</f>
        <v>CRECHE MUNDO ENCANTADO</v>
      </c>
      <c r="H212" s="95" t="str">
        <f>dados_01!H212</f>
        <v>REGIONAL 3</v>
      </c>
      <c r="I212" s="95">
        <f>dados_01!I212</f>
        <v>0</v>
      </c>
      <c r="J212" s="95"/>
      <c r="K212" s="95"/>
      <c r="L212" s="95"/>
      <c r="M212" s="95"/>
      <c r="N212" s="95"/>
      <c r="O212" s="95"/>
      <c r="P212" s="95"/>
      <c r="Q212" s="95"/>
      <c r="R212" s="95"/>
      <c r="S212" s="95"/>
      <c r="T212" s="95"/>
      <c r="U212" s="95"/>
      <c r="V212" s="95"/>
      <c r="W212" s="95"/>
      <c r="X212" s="95"/>
      <c r="Y212" s="95"/>
      <c r="Z212" s="95"/>
    </row>
    <row r="213" ht="15.75" customHeight="1" spans="1:26">
      <c r="A213" s="95" t="str">
        <f>dados_01!A213</f>
        <v>28/04/2026 11:00:10</v>
      </c>
      <c r="B213" s="95" t="str">
        <f>dados_01!B213</f>
        <v>5</v>
      </c>
      <c r="C213" s="95" t="str">
        <f>IFERROR(__xludf.DUMMYFUNCTION("JOIN("". "", ARRAYFORMULA(IFERROR(LEFT(SPLIT(dados_01!C213, "" ""), 1))))"),"M. G. S. G")</f>
        <v>M. G. S. G</v>
      </c>
      <c r="D213" s="95" t="str">
        <f>dados_01!D213</f>
        <v>11/04/2025</v>
      </c>
      <c r="E213" s="95" t="str">
        <f>CONCATENATE(LEFT(dados_01!E213,3),REPT("*",6),RIGHT(dados_01!E213,2))</f>
        <v>005******19</v>
      </c>
      <c r="F213" s="95" t="str">
        <f>dados_01!F213</f>
        <v>INFANTIL 1</v>
      </c>
      <c r="G213" s="95" t="str">
        <f>dados_01!G213</f>
        <v>CRECHE MUNDO ENCANTADO</v>
      </c>
      <c r="H213" s="95" t="str">
        <f>dados_01!H213</f>
        <v>REGIONAL 3</v>
      </c>
      <c r="I213" s="95">
        <f>dados_01!I213</f>
        <v>0</v>
      </c>
      <c r="J213" s="95"/>
      <c r="K213" s="95"/>
      <c r="L213" s="95"/>
      <c r="M213" s="95"/>
      <c r="N213" s="95"/>
      <c r="O213" s="95"/>
      <c r="P213" s="95"/>
      <c r="Q213" s="95"/>
      <c r="R213" s="95"/>
      <c r="S213" s="95"/>
      <c r="T213" s="95"/>
      <c r="U213" s="95"/>
      <c r="V213" s="95"/>
      <c r="W213" s="95"/>
      <c r="X213" s="95"/>
      <c r="Y213" s="95"/>
      <c r="Z213" s="95"/>
    </row>
    <row r="214" ht="15.75" customHeight="1" spans="1:26">
      <c r="A214" s="95" t="str">
        <f>dados_01!A214</f>
        <v>25/05/2026 18:39:15</v>
      </c>
      <c r="B214" s="95" t="str">
        <f>dados_01!B214</f>
        <v>6</v>
      </c>
      <c r="C214" s="95" t="str">
        <f>IFERROR(__xludf.DUMMYFUNCTION("JOIN("". "", ARRAYFORMULA(IFERROR(LEFT(SPLIT(dados_01!C214, "" ""), 1))))"),"M. Y. R. M. V")</f>
        <v>M. Y. R. M. V</v>
      </c>
      <c r="D214" s="95" t="str">
        <f>dados_01!D214</f>
        <v>29/12/2024</v>
      </c>
      <c r="E214" s="95" t="str">
        <f>CONCATENATE(LEFT(dados_01!E214,3),REPT("*",6),RIGHT(dados_01!E214,2))</f>
        <v>004******67</v>
      </c>
      <c r="F214" s="95" t="str">
        <f>dados_01!F214</f>
        <v>INFANTIL 1</v>
      </c>
      <c r="G214" s="95" t="str">
        <f>dados_01!G214</f>
        <v>CRECHE MUNDO ENCANTADO</v>
      </c>
      <c r="H214" s="95" t="str">
        <f>dados_01!H214</f>
        <v>REGIONAL 3</v>
      </c>
      <c r="I214" s="95">
        <f>dados_01!I214</f>
        <v>0</v>
      </c>
      <c r="J214" s="95"/>
      <c r="K214" s="95"/>
      <c r="L214" s="95"/>
      <c r="M214" s="95"/>
      <c r="N214" s="95"/>
      <c r="O214" s="95"/>
      <c r="P214" s="95"/>
      <c r="Q214" s="95"/>
      <c r="R214" s="95"/>
      <c r="S214" s="95"/>
      <c r="T214" s="95"/>
      <c r="U214" s="95"/>
      <c r="V214" s="95"/>
      <c r="W214" s="95"/>
      <c r="X214" s="95"/>
      <c r="Y214" s="95"/>
      <c r="Z214" s="95"/>
    </row>
    <row r="215" ht="15.75" customHeight="1" spans="1:26">
      <c r="A215" s="95" t="str">
        <f>dados_01!A215</f>
        <v>04/02/2026 15:08:15</v>
      </c>
      <c r="B215" s="95" t="str">
        <f>dados_01!B215</f>
        <v>1</v>
      </c>
      <c r="C215" s="95" t="str">
        <f>IFERROR(__xludf.DUMMYFUNCTION("JOIN("". "", ARRAYFORMULA(IFERROR(LEFT(SPLIT(dados_01!C215, "" ""), 1))))"),"D. L. D. S. D. N")</f>
        <v>D. L. D. S. D. N</v>
      </c>
      <c r="D215" s="95" t="str">
        <f>dados_01!D215</f>
        <v>27/09/2023</v>
      </c>
      <c r="E215" s="95" t="str">
        <f>CONCATENATE(LEFT(dados_01!E215,3),REPT("*",6),RIGHT(dados_01!E215,2))</f>
        <v>000******32</v>
      </c>
      <c r="F215" s="95" t="str">
        <f>dados_01!F215</f>
        <v>INFANTIL 2</v>
      </c>
      <c r="G215" s="95" t="str">
        <f>dados_01!G215</f>
        <v>CRECHE MUNDO ENCANTADO</v>
      </c>
      <c r="H215" s="95" t="str">
        <f>dados_01!H215</f>
        <v>REGIONAL 3</v>
      </c>
      <c r="I215" s="95">
        <f>dados_01!I215</f>
        <v>0</v>
      </c>
      <c r="J215" s="95"/>
      <c r="K215" s="95"/>
      <c r="L215" s="95"/>
      <c r="M215" s="95"/>
      <c r="N215" s="95"/>
      <c r="O215" s="95"/>
      <c r="P215" s="95"/>
      <c r="Q215" s="95"/>
      <c r="R215" s="95"/>
      <c r="S215" s="95"/>
      <c r="T215" s="95"/>
      <c r="U215" s="95"/>
      <c r="V215" s="95"/>
      <c r="W215" s="95"/>
      <c r="X215" s="95"/>
      <c r="Y215" s="95"/>
      <c r="Z215" s="95"/>
    </row>
    <row r="216" ht="15.75" customHeight="1" spans="1:26">
      <c r="A216" s="95" t="str">
        <f>dados_01!A216</f>
        <v>09/02/2026 08:21:31</v>
      </c>
      <c r="B216" s="95" t="str">
        <f>dados_01!B216</f>
        <v>2</v>
      </c>
      <c r="C216" s="95" t="str">
        <f>IFERROR(__xludf.DUMMYFUNCTION("JOIN("". "", ARRAYFORMULA(IFERROR(LEFT(SPLIT(dados_01!C216, "" ""), 1))))"),"A. P. C. D. S")</f>
        <v>A. P. C. D. S</v>
      </c>
      <c r="D216" s="95" t="str">
        <f>dados_01!D216</f>
        <v>16/12/2023</v>
      </c>
      <c r="E216" s="95" t="str">
        <f>CONCATENATE(LEFT(dados_01!E216,3),REPT("*",6),RIGHT(dados_01!E216,2))</f>
        <v>001******77</v>
      </c>
      <c r="F216" s="95" t="str">
        <f>dados_01!F216</f>
        <v>INFANTIL 2</v>
      </c>
      <c r="G216" s="95" t="str">
        <f>dados_01!G216</f>
        <v>CRECHE MUNDO ENCANTADO</v>
      </c>
      <c r="H216" s="95" t="str">
        <f>dados_01!H216</f>
        <v>REGIONAL 3</v>
      </c>
      <c r="I216" s="95">
        <f>dados_01!I216</f>
        <v>0</v>
      </c>
      <c r="J216" s="95"/>
      <c r="K216" s="95"/>
      <c r="L216" s="95"/>
      <c r="M216" s="95"/>
      <c r="N216" s="95"/>
      <c r="O216" s="95"/>
      <c r="P216" s="95"/>
      <c r="Q216" s="95"/>
      <c r="R216" s="95"/>
      <c r="S216" s="95"/>
      <c r="T216" s="95"/>
      <c r="U216" s="95"/>
      <c r="V216" s="95"/>
      <c r="W216" s="95"/>
      <c r="X216" s="95"/>
      <c r="Y216" s="95"/>
      <c r="Z216" s="95"/>
    </row>
    <row r="217" ht="15.75" customHeight="1" spans="1:26">
      <c r="A217" s="95" t="str">
        <f>dados_01!A217</f>
        <v>04/03/2026 22:04:48</v>
      </c>
      <c r="B217" s="95" t="str">
        <f>dados_01!B217</f>
        <v>3</v>
      </c>
      <c r="C217" s="95" t="str">
        <f>IFERROR(__xludf.DUMMYFUNCTION("JOIN("". "", ARRAYFORMULA(IFERROR(LEFT(SPLIT(dados_01!C217, "" ""), 1))))"),"J. L. P. D. S")</f>
        <v>J. L. P. D. S</v>
      </c>
      <c r="D217" s="95" t="str">
        <f>dados_01!D217</f>
        <v>19/12/2023</v>
      </c>
      <c r="E217" s="95" t="str">
        <f>CONCATENATE(LEFT(dados_01!E217,3),REPT("*",6),RIGHT(dados_01!E217,2))</f>
        <v>001******10</v>
      </c>
      <c r="F217" s="95" t="str">
        <f>dados_01!F217</f>
        <v>INFANTIL 2</v>
      </c>
      <c r="G217" s="95" t="str">
        <f>dados_01!G217</f>
        <v>CRECHE MUNDO ENCANTADO</v>
      </c>
      <c r="H217" s="95" t="str">
        <f>dados_01!H217</f>
        <v>REGIONAL 3</v>
      </c>
      <c r="I217" s="95">
        <f>dados_01!I217</f>
        <v>0</v>
      </c>
      <c r="J217" s="95"/>
      <c r="K217" s="95"/>
      <c r="L217" s="95"/>
      <c r="M217" s="95"/>
      <c r="N217" s="95"/>
      <c r="O217" s="95"/>
      <c r="P217" s="95"/>
      <c r="Q217" s="95"/>
      <c r="R217" s="95"/>
      <c r="S217" s="95"/>
      <c r="T217" s="95"/>
      <c r="U217" s="95"/>
      <c r="V217" s="95"/>
      <c r="W217" s="95"/>
      <c r="X217" s="95"/>
      <c r="Y217" s="95"/>
      <c r="Z217" s="95"/>
    </row>
    <row r="218" ht="15.75" customHeight="1" spans="1:26">
      <c r="A218" s="95" t="str">
        <f>dados_01!A218</f>
        <v>23/02/2026 09:25:20</v>
      </c>
      <c r="B218" s="95" t="str">
        <f>dados_01!B218</f>
        <v>1</v>
      </c>
      <c r="C218" s="95" t="str">
        <f>IFERROR(__xludf.DUMMYFUNCTION("JOIN("". "", ARRAYFORMULA(IFERROR(LEFT(SPLIT(dados_01!C218, "" ""), 1))))"),"L. E. C. D. O")</f>
        <v>L. E. C. D. O</v>
      </c>
      <c r="D218" s="95" t="str">
        <f>dados_01!D218</f>
        <v>08/07/2024</v>
      </c>
      <c r="E218" s="95" t="str">
        <f>CONCATENATE(LEFT(dados_01!E218,3),REPT("*",6),RIGHT(dados_01!E218,2))</f>
        <v>003******55</v>
      </c>
      <c r="F218" s="95" t="str">
        <f>dados_01!F218</f>
        <v>INFANTIL 1</v>
      </c>
      <c r="G218" s="95" t="str">
        <f>dados_01!G218</f>
        <v>CRECHE MUNICIPAL PROFESSORA MARIA RITA LINS MARTINS</v>
      </c>
      <c r="H218" s="95" t="str">
        <f>dados_01!H218</f>
        <v>REGIONAL 1</v>
      </c>
      <c r="I218" s="95">
        <f>dados_01!I218</f>
        <v>0</v>
      </c>
      <c r="J218" s="95"/>
      <c r="K218" s="95"/>
      <c r="L218" s="95"/>
      <c r="M218" s="95"/>
      <c r="N218" s="95"/>
      <c r="O218" s="95"/>
      <c r="P218" s="95"/>
      <c r="Q218" s="95"/>
      <c r="R218" s="95"/>
      <c r="S218" s="95"/>
      <c r="T218" s="95"/>
      <c r="U218" s="95"/>
      <c r="V218" s="95"/>
      <c r="W218" s="95"/>
      <c r="X218" s="95"/>
      <c r="Y218" s="95"/>
      <c r="Z218" s="95"/>
    </row>
    <row r="219" ht="15.75" customHeight="1" spans="1:26">
      <c r="A219" s="95" t="str">
        <f>dados_01!A219</f>
        <v>23/02/2026 22:06:49</v>
      </c>
      <c r="B219" s="95" t="str">
        <f>dados_01!B219</f>
        <v>2</v>
      </c>
      <c r="C219" s="95" t="str">
        <f>IFERROR(__xludf.DUMMYFUNCTION("JOIN("". "", ARRAYFORMULA(IFERROR(LEFT(SPLIT(dados_01!C219, "" ""), 1))))"),"B. S. S. D. S")</f>
        <v>B. S. S. D. S</v>
      </c>
      <c r="D219" s="95" t="str">
        <f>dados_01!D219</f>
        <v>13/09/2024</v>
      </c>
      <c r="E219" s="95" t="str">
        <f>CONCATENATE(LEFT(dados_01!E219,3),REPT("*",6),RIGHT(dados_01!E219,2))</f>
        <v>004******73</v>
      </c>
      <c r="F219" s="95" t="str">
        <f>dados_01!F219</f>
        <v>INFANTIL 1</v>
      </c>
      <c r="G219" s="95" t="str">
        <f>dados_01!G219</f>
        <v>CRECHE MUNICIPAL PROFESSORA MARIA RITA LINS MARTINS</v>
      </c>
      <c r="H219" s="95" t="str">
        <f>dados_01!H219</f>
        <v>REGIONAL 1</v>
      </c>
      <c r="I219" s="95">
        <f>dados_01!I219</f>
        <v>0</v>
      </c>
      <c r="J219" s="95"/>
      <c r="K219" s="95"/>
      <c r="L219" s="95"/>
      <c r="M219" s="95"/>
      <c r="N219" s="95"/>
      <c r="O219" s="95"/>
      <c r="P219" s="95"/>
      <c r="Q219" s="95"/>
      <c r="R219" s="95"/>
      <c r="S219" s="95"/>
      <c r="T219" s="95"/>
      <c r="U219" s="95"/>
      <c r="V219" s="95"/>
      <c r="W219" s="95"/>
      <c r="X219" s="95"/>
      <c r="Y219" s="95"/>
      <c r="Z219" s="95"/>
    </row>
    <row r="220" ht="15.75" customHeight="1" spans="1:26">
      <c r="A220" s="95" t="str">
        <f>dados_01!A220</f>
        <v>24/02/2026 10:47:32</v>
      </c>
      <c r="B220" s="95" t="str">
        <f>dados_01!B220</f>
        <v>3</v>
      </c>
      <c r="C220" s="95" t="str">
        <f>IFERROR(__xludf.DUMMYFUNCTION("JOIN("". "", ARRAYFORMULA(IFERROR(LEFT(SPLIT(dados_01!C220, "" ""), 1))))"),"M. H. D. S. M")</f>
        <v>M. H. D. S. M</v>
      </c>
      <c r="D220" s="95" t="str">
        <f>dados_01!D220</f>
        <v>17/08/2024</v>
      </c>
      <c r="E220" s="95" t="str">
        <f>CONCATENATE(LEFT(dados_01!E220,3),REPT("*",6),RIGHT(dados_01!E220,2))</f>
        <v>003******21</v>
      </c>
      <c r="F220" s="95" t="str">
        <f>dados_01!F220</f>
        <v>INFANTIL 1</v>
      </c>
      <c r="G220" s="95" t="str">
        <f>dados_01!G220</f>
        <v>CRECHE MUNICIPAL PROFESSORA MARIA RITA LINS MARTINS</v>
      </c>
      <c r="H220" s="95" t="str">
        <f>dados_01!H220</f>
        <v>REGIONAL 1</v>
      </c>
      <c r="I220" s="95">
        <f>dados_01!I220</f>
        <v>0</v>
      </c>
      <c r="J220" s="95"/>
      <c r="K220" s="95"/>
      <c r="L220" s="95"/>
      <c r="M220" s="95"/>
      <c r="N220" s="95"/>
      <c r="O220" s="95"/>
      <c r="P220" s="95"/>
      <c r="Q220" s="95"/>
      <c r="R220" s="95"/>
      <c r="S220" s="95"/>
      <c r="T220" s="95"/>
      <c r="U220" s="95"/>
      <c r="V220" s="95"/>
      <c r="W220" s="95"/>
      <c r="X220" s="95"/>
      <c r="Y220" s="95"/>
      <c r="Z220" s="95"/>
    </row>
    <row r="221" ht="15.75" customHeight="1" spans="1:26">
      <c r="A221" s="95" t="str">
        <f>dados_01!A221</f>
        <v>10/05/2026 13:51:20</v>
      </c>
      <c r="B221" s="95" t="str">
        <f>dados_01!B221</f>
        <v>4</v>
      </c>
      <c r="C221" s="95" t="str">
        <f>IFERROR(__xludf.DUMMYFUNCTION("JOIN("". "", ARRAYFORMULA(IFERROR(LEFT(SPLIT(dados_01!C221, "" ""), 1))))"),"L. M. D. S")</f>
        <v>L. M. D. S</v>
      </c>
      <c r="D221" s="95" t="str">
        <f>dados_01!D221</f>
        <v>21/03/2025</v>
      </c>
      <c r="E221" s="95" t="str">
        <f>CONCATENATE(LEFT(dados_01!E221,3),REPT("*",6),RIGHT(dados_01!E221,2))</f>
        <v>007******01</v>
      </c>
      <c r="F221" s="95" t="str">
        <f>dados_01!F221</f>
        <v>INFANTIL 1</v>
      </c>
      <c r="G221" s="95" t="str">
        <f>dados_01!G221</f>
        <v>CRECHE MUNICIPAL PROFESSORA MARIA RITA LINS MARTINS</v>
      </c>
      <c r="H221" s="95" t="str">
        <f>dados_01!H221</f>
        <v>REGIONAL 1</v>
      </c>
      <c r="I221" s="95">
        <f>dados_01!I221</f>
        <v>0</v>
      </c>
      <c r="J221" s="95"/>
      <c r="K221" s="95"/>
      <c r="L221" s="95"/>
      <c r="M221" s="95"/>
      <c r="N221" s="95"/>
      <c r="O221" s="95"/>
      <c r="P221" s="95"/>
      <c r="Q221" s="95"/>
      <c r="R221" s="95"/>
      <c r="S221" s="95"/>
      <c r="T221" s="95"/>
      <c r="U221" s="95"/>
      <c r="V221" s="95"/>
      <c r="W221" s="95"/>
      <c r="X221" s="95"/>
      <c r="Y221" s="95"/>
      <c r="Z221" s="95"/>
    </row>
    <row r="222" ht="15.75" customHeight="1" spans="1:26">
      <c r="A222" s="95" t="str">
        <f>dados_01!A222</f>
        <v>30/01/2026 13:46:37</v>
      </c>
      <c r="B222" s="95" t="str">
        <f>dados_01!B222</f>
        <v>1</v>
      </c>
      <c r="C222" s="95" t="str">
        <f>IFERROR(__xludf.DUMMYFUNCTION("JOIN("". "", ARRAYFORMULA(IFERROR(LEFT(SPLIT(dados_01!C222, "" ""), 1))))"),"L. M. D. S. P")</f>
        <v>L. M. D. S. P</v>
      </c>
      <c r="D222" s="95" t="str">
        <f>dados_01!D222</f>
        <v>24/01/2024</v>
      </c>
      <c r="E222" s="95" t="str">
        <f>CONCATENATE(LEFT(dados_01!E222,3),REPT("*",6),RIGHT(dados_01!E222,2))</f>
        <v>001******95</v>
      </c>
      <c r="F222" s="95" t="str">
        <f>dados_01!F222</f>
        <v>INFANTIL 2</v>
      </c>
      <c r="G222" s="95" t="str">
        <f>dados_01!G222</f>
        <v>CRECHE MUNICIPAL PROFESSORA MARIA RITA LINS MARTINS</v>
      </c>
      <c r="H222" s="95" t="str">
        <f>dados_01!H222</f>
        <v>REGIONAL 1</v>
      </c>
      <c r="I222" s="95">
        <f>dados_01!I222</f>
        <v>0</v>
      </c>
      <c r="J222" s="95"/>
      <c r="K222" s="95"/>
      <c r="L222" s="95"/>
      <c r="M222" s="95"/>
      <c r="N222" s="95"/>
      <c r="O222" s="95"/>
      <c r="P222" s="95"/>
      <c r="Q222" s="95"/>
      <c r="R222" s="95"/>
      <c r="S222" s="95"/>
      <c r="T222" s="95"/>
      <c r="U222" s="95"/>
      <c r="V222" s="95"/>
      <c r="W222" s="95"/>
      <c r="X222" s="95"/>
      <c r="Y222" s="95"/>
      <c r="Z222" s="95"/>
    </row>
    <row r="223" ht="15.75" customHeight="1" spans="1:26">
      <c r="A223" s="95" t="str">
        <f>dados_01!A223</f>
        <v>08/03/2026 00:13:08</v>
      </c>
      <c r="B223" s="95" t="str">
        <f>dados_01!B223</f>
        <v>2</v>
      </c>
      <c r="C223" s="95" t="str">
        <f>IFERROR(__xludf.DUMMYFUNCTION("JOIN("". "", ARRAYFORMULA(IFERROR(LEFT(SPLIT(dados_01!C223, "" ""), 1))))"),"H. G. S. G. D. S")</f>
        <v>H. G. S. G. D. S</v>
      </c>
      <c r="D223" s="95" t="str">
        <f>dados_01!D223</f>
        <v>19/07/2023</v>
      </c>
      <c r="E223" s="95" t="str">
        <f>CONCATENATE(LEFT(dados_01!E223,3),REPT("*",6),RIGHT(dados_01!E223,2))</f>
        <v>186******81</v>
      </c>
      <c r="F223" s="95" t="str">
        <f>dados_01!F223</f>
        <v>INFANTIL 2</v>
      </c>
      <c r="G223" s="95" t="str">
        <f>dados_01!G223</f>
        <v>CRECHE MUNICIPAL PROFESSORA MARIA RITA LINS MARTINS</v>
      </c>
      <c r="H223" s="95" t="str">
        <f>dados_01!H223</f>
        <v>REGIONAL 1</v>
      </c>
      <c r="I223" s="95">
        <f>dados_01!I223</f>
        <v>0</v>
      </c>
      <c r="J223" s="95"/>
      <c r="K223" s="95"/>
      <c r="L223" s="95"/>
      <c r="M223" s="95"/>
      <c r="N223" s="95"/>
      <c r="O223" s="95"/>
      <c r="P223" s="95"/>
      <c r="Q223" s="95"/>
      <c r="R223" s="95"/>
      <c r="S223" s="95"/>
      <c r="T223" s="95"/>
      <c r="U223" s="95"/>
      <c r="V223" s="95"/>
      <c r="W223" s="95"/>
      <c r="X223" s="95"/>
      <c r="Y223" s="95"/>
      <c r="Z223" s="95"/>
    </row>
    <row r="224" ht="15.75" customHeight="1" spans="1:26">
      <c r="A224" s="95" t="str">
        <f>dados_01!A224</f>
        <v>11/03/2026 10:30:16</v>
      </c>
      <c r="B224" s="95" t="str">
        <f>dados_01!B224</f>
        <v>3</v>
      </c>
      <c r="C224" s="95" t="str">
        <f>IFERROR(__xludf.DUMMYFUNCTION("JOIN("". "", ARRAYFORMULA(IFERROR(LEFT(SPLIT(dados_01!C224, "" ""), 1))))"),"L. S. P")</f>
        <v>L. S. P</v>
      </c>
      <c r="D224" s="95" t="str">
        <f>dados_01!D224</f>
        <v>11/12/2023</v>
      </c>
      <c r="E224" s="95" t="str">
        <f>CONCATENATE(LEFT(dados_01!E224,3),REPT("*",6),RIGHT(dados_01!E224,2))</f>
        <v>001******48</v>
      </c>
      <c r="F224" s="95" t="str">
        <f>dados_01!F224</f>
        <v>INFANTIL 2</v>
      </c>
      <c r="G224" s="95" t="str">
        <f>dados_01!G224</f>
        <v>CRECHE MUNICIPAL PROFESSORA MARIA RITA LINS MARTINS</v>
      </c>
      <c r="H224" s="95" t="str">
        <f>dados_01!H224</f>
        <v>REGIONAL 1</v>
      </c>
      <c r="I224" s="95">
        <f>dados_01!I224</f>
        <v>0</v>
      </c>
      <c r="J224" s="95"/>
      <c r="K224" s="95"/>
      <c r="L224" s="95"/>
      <c r="M224" s="95"/>
      <c r="N224" s="95"/>
      <c r="O224" s="95"/>
      <c r="P224" s="95"/>
      <c r="Q224" s="95"/>
      <c r="R224" s="95"/>
      <c r="S224" s="95"/>
      <c r="T224" s="95"/>
      <c r="U224" s="95"/>
      <c r="V224" s="95"/>
      <c r="W224" s="95"/>
      <c r="X224" s="95"/>
      <c r="Y224" s="95"/>
      <c r="Z224" s="95"/>
    </row>
    <row r="225" ht="15.75" customHeight="1" spans="1:26">
      <c r="A225" s="95" t="str">
        <f>dados_01!A225</f>
        <v>17/03/2026 08:58:14</v>
      </c>
      <c r="B225" s="95" t="str">
        <f>dados_01!B225</f>
        <v>4</v>
      </c>
      <c r="C225" s="95" t="str">
        <f>IFERROR(__xludf.DUMMYFUNCTION("JOIN("". "", ARRAYFORMULA(IFERROR(LEFT(SPLIT(dados_01!C225, "" ""), 1))))"),"L. R. D. L")</f>
        <v>L. R. D. L</v>
      </c>
      <c r="D225" s="95" t="str">
        <f>dados_01!D225</f>
        <v>09/03/2024</v>
      </c>
      <c r="E225" s="95" t="str">
        <f>CONCATENATE(LEFT(dados_01!E225,3),REPT("*",6),RIGHT(dados_01!E225,2))</f>
        <v>001******96</v>
      </c>
      <c r="F225" s="95" t="str">
        <f>dados_01!F225</f>
        <v>INFANTIL 2</v>
      </c>
      <c r="G225" s="95" t="str">
        <f>dados_01!G225</f>
        <v>CRECHE MUNICIPAL PROFESSORA MARIA RITA LINS MARTINS</v>
      </c>
      <c r="H225" s="95" t="str">
        <f>dados_01!H225</f>
        <v>REGIONAL 1</v>
      </c>
      <c r="I225" s="95">
        <f>dados_01!I225</f>
        <v>0</v>
      </c>
      <c r="J225" s="95"/>
      <c r="K225" s="95"/>
      <c r="L225" s="95"/>
      <c r="M225" s="95"/>
      <c r="N225" s="95"/>
      <c r="O225" s="95"/>
      <c r="P225" s="95"/>
      <c r="Q225" s="95"/>
      <c r="R225" s="95"/>
      <c r="S225" s="95"/>
      <c r="T225" s="95"/>
      <c r="U225" s="95"/>
      <c r="V225" s="95"/>
      <c r="W225" s="95"/>
      <c r="X225" s="95"/>
      <c r="Y225" s="95"/>
      <c r="Z225" s="95"/>
    </row>
    <row r="226" ht="15.75" customHeight="1" spans="1:26">
      <c r="A226" s="95" t="str">
        <f>dados_01!A226</f>
        <v>16/04/2026 17:20:01</v>
      </c>
      <c r="B226" s="95" t="str">
        <f>dados_01!B226</f>
        <v>5</v>
      </c>
      <c r="C226" s="95" t="str">
        <f>IFERROR(__xludf.DUMMYFUNCTION("JOIN("". "", ARRAYFORMULA(IFERROR(LEFT(SPLIT(dados_01!C226, "" ""), 1))))"),"M. C. D. S. C. M")</f>
        <v>M. C. D. S. C. M</v>
      </c>
      <c r="D226" s="95" t="str">
        <f>dados_01!D226</f>
        <v>17/04/2023</v>
      </c>
      <c r="E226" s="95" t="str">
        <f>CONCATENATE(LEFT(dados_01!E226,3),REPT("*",6),RIGHT(dados_01!E226,2))</f>
        <v>185******46</v>
      </c>
      <c r="F226" s="95" t="str">
        <f>dados_01!F226</f>
        <v>INFANTIL 2</v>
      </c>
      <c r="G226" s="95" t="str">
        <f>dados_01!G226</f>
        <v>CRECHE MUNICIPAL PROFESSORA MARIA RITA LINS MARTINS</v>
      </c>
      <c r="H226" s="95" t="str">
        <f>dados_01!H226</f>
        <v>REGIONAL 1</v>
      </c>
      <c r="I226" s="95">
        <f>dados_01!I226</f>
        <v>0</v>
      </c>
      <c r="J226" s="95"/>
      <c r="K226" s="95"/>
      <c r="L226" s="95"/>
      <c r="M226" s="95"/>
      <c r="N226" s="95"/>
      <c r="O226" s="95"/>
      <c r="P226" s="95"/>
      <c r="Q226" s="95"/>
      <c r="R226" s="95"/>
      <c r="S226" s="95"/>
      <c r="T226" s="95"/>
      <c r="U226" s="95"/>
      <c r="V226" s="95"/>
      <c r="W226" s="95"/>
      <c r="X226" s="95"/>
      <c r="Y226" s="95"/>
      <c r="Z226" s="95"/>
    </row>
    <row r="227" ht="15.75" customHeight="1" spans="1:26">
      <c r="A227" s="95" t="str">
        <f>dados_01!A227</f>
        <v>13/05/2026 08:10:15</v>
      </c>
      <c r="B227" s="95" t="str">
        <f>dados_01!B227</f>
        <v>6</v>
      </c>
      <c r="C227" s="95" t="str">
        <f>IFERROR(__xludf.DUMMYFUNCTION("JOIN("". "", ARRAYFORMULA(IFERROR(LEFT(SPLIT(dados_01!C227, "" ""), 1))))"),"T. M. O. D. S")</f>
        <v>T. M. O. D. S</v>
      </c>
      <c r="D227" s="95" t="str">
        <f>dados_01!D227</f>
        <v>16/08/2023</v>
      </c>
      <c r="E227" s="95" t="str">
        <f>CONCATENATE(LEFT(dados_01!E227,3),REPT("*",6),RIGHT(dados_01!E227,2))</f>
        <v>186******46</v>
      </c>
      <c r="F227" s="95" t="str">
        <f>dados_01!F227</f>
        <v>INFANTIL 2</v>
      </c>
      <c r="G227" s="95" t="str">
        <f>dados_01!G227</f>
        <v>CRECHE MUNICIPAL PROFESSORA MARIA RITA LINS MARTINS</v>
      </c>
      <c r="H227" s="95" t="str">
        <f>dados_01!H227</f>
        <v>REGIONAL 1</v>
      </c>
      <c r="I227" s="95">
        <f>dados_01!I227</f>
        <v>0</v>
      </c>
      <c r="J227" s="95"/>
      <c r="K227" s="95"/>
      <c r="L227" s="95"/>
      <c r="M227" s="95"/>
      <c r="N227" s="95"/>
      <c r="O227" s="95"/>
      <c r="P227" s="95"/>
      <c r="Q227" s="95"/>
      <c r="R227" s="95"/>
      <c r="S227" s="95"/>
      <c r="T227" s="95"/>
      <c r="U227" s="95"/>
      <c r="V227" s="95"/>
      <c r="W227" s="95"/>
      <c r="X227" s="95"/>
      <c r="Y227" s="95"/>
      <c r="Z227" s="95"/>
    </row>
    <row r="228" ht="15.75" customHeight="1" spans="1:26">
      <c r="A228" s="95" t="str">
        <f>dados_01!A228</f>
        <v>16/04/2026 17:16:18</v>
      </c>
      <c r="B228" s="95" t="str">
        <f>dados_01!B228</f>
        <v>1</v>
      </c>
      <c r="C228" s="95" t="str">
        <f>IFERROR(__xludf.DUMMYFUNCTION("JOIN("". "", ARRAYFORMULA(IFERROR(LEFT(SPLIT(dados_01!C228, "" ""), 1))))"),"M. G. D. S. C. M")</f>
        <v>M. G. D. S. C. M</v>
      </c>
      <c r="D228" s="95" t="str">
        <f>dados_01!D228</f>
        <v>11/04/2022</v>
      </c>
      <c r="E228" s="95" t="str">
        <f>CONCATENATE(LEFT(dados_01!E228,3),REPT("*",6),RIGHT(dados_01!E228,2))</f>
        <v>181******09</v>
      </c>
      <c r="F228" s="95" t="str">
        <f>dados_01!F228</f>
        <v>INFANTIL 3</v>
      </c>
      <c r="G228" s="95" t="str">
        <f>dados_01!G228</f>
        <v>CRECHE MUNICIPAL PROFESSORA MARIA RITA LINS MARTINS</v>
      </c>
      <c r="H228" s="95" t="str">
        <f>dados_01!H228</f>
        <v>REGIONAL 1</v>
      </c>
      <c r="I228" s="95">
        <f>dados_01!I228</f>
        <v>0</v>
      </c>
      <c r="J228" s="95"/>
      <c r="K228" s="95"/>
      <c r="L228" s="95"/>
      <c r="M228" s="95"/>
      <c r="N228" s="95"/>
      <c r="O228" s="95"/>
      <c r="P228" s="95"/>
      <c r="Q228" s="95"/>
      <c r="R228" s="95"/>
      <c r="S228" s="95"/>
      <c r="T228" s="95"/>
      <c r="U228" s="95"/>
      <c r="V228" s="95"/>
      <c r="W228" s="95"/>
      <c r="X228" s="95"/>
      <c r="Y228" s="95"/>
      <c r="Z228" s="95"/>
    </row>
    <row r="229" ht="15.75" customHeight="1" spans="1:26">
      <c r="A229" s="95" t="str">
        <f>dados_01!A229</f>
        <v>10/05/2026 13:58:19</v>
      </c>
      <c r="B229" s="95" t="str">
        <f>dados_01!B229</f>
        <v>2</v>
      </c>
      <c r="C229" s="95" t="str">
        <f>IFERROR(__xludf.DUMMYFUNCTION("JOIN("". "", ARRAYFORMULA(IFERROR(LEFT(SPLIT(dados_01!C229, "" ""), 1))))"),"D. E. D. M")</f>
        <v>D. E. D. M</v>
      </c>
      <c r="D229" s="95" t="str">
        <f>dados_01!D229</f>
        <v>07/01/2023</v>
      </c>
      <c r="E229" s="95" t="str">
        <f>CONCATENATE(LEFT(dados_01!E229,3),REPT("*",6),RIGHT(dados_01!E229,2))</f>
        <v>184******52</v>
      </c>
      <c r="F229" s="95" t="str">
        <f>dados_01!F229</f>
        <v>INFANTIL 3</v>
      </c>
      <c r="G229" s="95" t="str">
        <f>dados_01!G229</f>
        <v>CRECHE MUNICIPAL PROFESSORA MARIA RITA LINS MARTINS</v>
      </c>
      <c r="H229" s="95" t="str">
        <f>dados_01!H229</f>
        <v>REGIONAL 1</v>
      </c>
      <c r="I229" s="95">
        <f>dados_01!I229</f>
        <v>0</v>
      </c>
      <c r="J229" s="95"/>
      <c r="K229" s="95"/>
      <c r="L229" s="95"/>
      <c r="M229" s="95"/>
      <c r="N229" s="95"/>
      <c r="O229" s="95"/>
      <c r="P229" s="95"/>
      <c r="Q229" s="95"/>
      <c r="R229" s="95"/>
      <c r="S229" s="95"/>
      <c r="T229" s="95"/>
      <c r="U229" s="95"/>
      <c r="V229" s="95"/>
      <c r="W229" s="95"/>
      <c r="X229" s="95"/>
      <c r="Y229" s="95"/>
      <c r="Z229" s="95"/>
    </row>
    <row r="230" ht="15.75" customHeight="1" spans="1:26">
      <c r="A230" s="95" t="str">
        <f>dados_01!A230</f>
        <v>05/02/2026 23:06:26</v>
      </c>
      <c r="B230" s="95" t="str">
        <f>dados_01!B230</f>
        <v>1</v>
      </c>
      <c r="C230" s="95" t="str">
        <f>IFERROR(__xludf.DUMMYFUNCTION("JOIN("". "", ARRAYFORMULA(IFERROR(LEFT(SPLIT(dados_01!C230, "" ""), 1))))"),"L. S. S")</f>
        <v>L. S. S</v>
      </c>
      <c r="D230" s="95" t="str">
        <f>dados_01!D230</f>
        <v>27/04/2025</v>
      </c>
      <c r="E230" s="95" t="str">
        <f>CONCATENATE(LEFT(dados_01!E230,3),REPT("*",6),RIGHT(dados_01!E230,2))</f>
        <v>017******91</v>
      </c>
      <c r="F230" s="95" t="str">
        <f>dados_01!F230</f>
        <v>INFANTIL 1</v>
      </c>
      <c r="G230" s="95" t="str">
        <f>dados_01!G230</f>
        <v>CRECHE MUNICIPAL PROFESSORA SILVIA CRISTINA SANTOS BOTELHO</v>
      </c>
      <c r="H230" s="95" t="str">
        <f>dados_01!H230</f>
        <v>REGIONAL 7</v>
      </c>
      <c r="I230" s="95">
        <f>dados_01!I230</f>
        <v>0</v>
      </c>
      <c r="J230" s="95"/>
      <c r="K230" s="95"/>
      <c r="L230" s="95"/>
      <c r="M230" s="95"/>
      <c r="N230" s="95"/>
      <c r="O230" s="95"/>
      <c r="P230" s="95"/>
      <c r="Q230" s="95"/>
      <c r="R230" s="95"/>
      <c r="S230" s="95"/>
      <c r="T230" s="95"/>
      <c r="U230" s="95"/>
      <c r="V230" s="95"/>
      <c r="W230" s="95"/>
      <c r="X230" s="95"/>
      <c r="Y230" s="95"/>
      <c r="Z230" s="95"/>
    </row>
    <row r="231" ht="15.75" customHeight="1" spans="1:26">
      <c r="A231" s="95" t="str">
        <f>dados_01!A231</f>
        <v>27/03/2026 15:45:11</v>
      </c>
      <c r="B231" s="95" t="str">
        <f>dados_01!B231</f>
        <v>2</v>
      </c>
      <c r="C231" s="95" t="str">
        <f>IFERROR(__xludf.DUMMYFUNCTION("JOIN("". "", ARRAYFORMULA(IFERROR(LEFT(SPLIT(dados_01!C231, "" ""), 1))))"),"A. M. D. S. V")</f>
        <v>A. M. D. S. V</v>
      </c>
      <c r="D231" s="95" t="str">
        <f>dados_01!D231</f>
        <v>12/10/2024</v>
      </c>
      <c r="E231" s="95" t="str">
        <f>CONCATENATE(LEFT(dados_01!E231,3),REPT("*",6),RIGHT(dados_01!E231,2))</f>
        <v>004******00</v>
      </c>
      <c r="F231" s="95" t="str">
        <f>dados_01!F231</f>
        <v>INFANTIL 1</v>
      </c>
      <c r="G231" s="95" t="str">
        <f>dados_01!G231</f>
        <v>CRECHE MUNICIPAL PROFESSORA SILVIA CRISTINA SANTOS BOTELHO</v>
      </c>
      <c r="H231" s="95" t="str">
        <f>dados_01!H231</f>
        <v>REGIONAL 7</v>
      </c>
      <c r="I231" s="95">
        <f>dados_01!I231</f>
        <v>0</v>
      </c>
      <c r="J231" s="95"/>
      <c r="K231" s="95"/>
      <c r="L231" s="95"/>
      <c r="M231" s="95"/>
      <c r="N231" s="95"/>
      <c r="O231" s="95"/>
      <c r="P231" s="95"/>
      <c r="Q231" s="95"/>
      <c r="R231" s="95"/>
      <c r="S231" s="95"/>
      <c r="T231" s="95"/>
      <c r="U231" s="95"/>
      <c r="V231" s="95"/>
      <c r="W231" s="95"/>
      <c r="X231" s="95"/>
      <c r="Y231" s="95"/>
      <c r="Z231" s="95"/>
    </row>
    <row r="232" ht="15.75" customHeight="1" spans="1:26">
      <c r="A232" s="95" t="str">
        <f>dados_01!A232</f>
        <v>15/04/2026 22:22:20</v>
      </c>
      <c r="B232" s="95" t="str">
        <f>dados_01!B232</f>
        <v>3</v>
      </c>
      <c r="C232" s="95" t="str">
        <f>IFERROR(__xludf.DUMMYFUNCTION("JOIN("". "", ARRAYFORMULA(IFERROR(LEFT(SPLIT(dados_01!C232, "" ""), 1))))"),"I. E. D. S")</f>
        <v>I. E. D. S</v>
      </c>
      <c r="D232" s="95" t="str">
        <f>dados_01!D232</f>
        <v>19/11/2024</v>
      </c>
      <c r="E232" s="95" t="str">
        <f>CONCATENATE(LEFT(dados_01!E232,3),REPT("*",6),RIGHT(dados_01!E232,2))</f>
        <v>004******92</v>
      </c>
      <c r="F232" s="95" t="str">
        <f>dados_01!F232</f>
        <v>INFANTIL 1</v>
      </c>
      <c r="G232" s="95" t="str">
        <f>dados_01!G232</f>
        <v>CRECHE MUNICIPAL PROFESSORA SILVIA CRISTINA SANTOS BOTELHO</v>
      </c>
      <c r="H232" s="95" t="str">
        <f>dados_01!H232</f>
        <v>REGIONAL 7</v>
      </c>
      <c r="I232" s="95">
        <f>dados_01!I232</f>
        <v>0</v>
      </c>
      <c r="J232" s="95"/>
      <c r="K232" s="95"/>
      <c r="L232" s="95"/>
      <c r="M232" s="95"/>
      <c r="N232" s="95"/>
      <c r="O232" s="95"/>
      <c r="P232" s="95"/>
      <c r="Q232" s="95"/>
      <c r="R232" s="95"/>
      <c r="S232" s="95"/>
      <c r="T232" s="95"/>
      <c r="U232" s="95"/>
      <c r="V232" s="95"/>
      <c r="W232" s="95"/>
      <c r="X232" s="95"/>
      <c r="Y232" s="95"/>
      <c r="Z232" s="95"/>
    </row>
    <row r="233" ht="15.75" customHeight="1" spans="1:26">
      <c r="A233" s="95" t="str">
        <f>dados_01!A233</f>
        <v>05/05/2026 10:48:19</v>
      </c>
      <c r="B233" s="95" t="str">
        <f>dados_01!B233</f>
        <v>4</v>
      </c>
      <c r="C233" s="95" t="str">
        <f>IFERROR(__xludf.DUMMYFUNCTION("JOIN("". "", ARRAYFORMULA(IFERROR(LEFT(SPLIT(dados_01!C233, "" ""), 1))))"),"D. N")</f>
        <v>D. N</v>
      </c>
      <c r="D233" s="95" t="str">
        <f>dados_01!D233</f>
        <v>19/06/2024</v>
      </c>
      <c r="E233" s="95" t="str">
        <f>CONCATENATE(LEFT(dados_01!E233,3),REPT("*",6),RIGHT(dados_01!E233,2))</f>
        <v>003******78</v>
      </c>
      <c r="F233" s="95" t="str">
        <f>dados_01!F233</f>
        <v>INFANTIL 1</v>
      </c>
      <c r="G233" s="95" t="str">
        <f>dados_01!G233</f>
        <v>CRECHE MUNICIPAL PROFESSORA SILVIA CRISTINA SANTOS BOTELHO</v>
      </c>
      <c r="H233" s="95" t="str">
        <f>dados_01!H233</f>
        <v>REGIONAL 7</v>
      </c>
      <c r="I233" s="95">
        <f>dados_01!I233</f>
        <v>0</v>
      </c>
      <c r="J233" s="95"/>
      <c r="K233" s="95"/>
      <c r="L233" s="95"/>
      <c r="M233" s="95"/>
      <c r="N233" s="95"/>
      <c r="O233" s="95"/>
      <c r="P233" s="95"/>
      <c r="Q233" s="95"/>
      <c r="R233" s="95"/>
      <c r="S233" s="95"/>
      <c r="T233" s="95"/>
      <c r="U233" s="95"/>
      <c r="V233" s="95"/>
      <c r="W233" s="95"/>
      <c r="X233" s="95"/>
      <c r="Y233" s="95"/>
      <c r="Z233" s="95"/>
    </row>
    <row r="234" ht="15.75" customHeight="1" spans="1:26">
      <c r="A234" s="95" t="str">
        <f>dados_01!A234</f>
        <v>25/05/2026 19:36:10</v>
      </c>
      <c r="B234" s="95" t="str">
        <f>dados_01!B234</f>
        <v>5</v>
      </c>
      <c r="C234" s="95" t="str">
        <f>IFERROR(__xludf.DUMMYFUNCTION("JOIN("". "", ARRAYFORMULA(IFERROR(LEFT(SPLIT(dados_01!C234, "" ""), 1))))"),"A. S. s. d. s")</f>
        <v>A. S. s. d. s</v>
      </c>
      <c r="D234" s="95" t="str">
        <f>dados_01!D234</f>
        <v>05/01/2025</v>
      </c>
      <c r="E234" s="95" t="str">
        <f>CONCATENATE(LEFT(dados_01!E234,3),REPT("*",6),RIGHT(dados_01!E234,2))</f>
        <v>005******41</v>
      </c>
      <c r="F234" s="95" t="str">
        <f>dados_01!F234</f>
        <v>INFANTIL 1</v>
      </c>
      <c r="G234" s="95" t="str">
        <f>dados_01!G234</f>
        <v>CRECHE MUNICIPAL PROFESSORA SILVIA CRISTINA SANTOS BOTELHO</v>
      </c>
      <c r="H234" s="95" t="str">
        <f>dados_01!H234</f>
        <v>REGIONAL 7</v>
      </c>
      <c r="I234" s="95">
        <f>dados_01!I234</f>
        <v>0</v>
      </c>
      <c r="J234" s="95"/>
      <c r="K234" s="95"/>
      <c r="L234" s="95"/>
      <c r="M234" s="95"/>
      <c r="N234" s="95"/>
      <c r="O234" s="95"/>
      <c r="P234" s="95"/>
      <c r="Q234" s="95"/>
      <c r="R234" s="95"/>
      <c r="S234" s="95"/>
      <c r="T234" s="95"/>
      <c r="U234" s="95"/>
      <c r="V234" s="95"/>
      <c r="W234" s="95"/>
      <c r="X234" s="95"/>
      <c r="Y234" s="95"/>
      <c r="Z234" s="95"/>
    </row>
    <row r="235" ht="15.75" customHeight="1" spans="1:26">
      <c r="A235" s="95" t="str">
        <f>dados_01!A235</f>
        <v>26/02/2026 09:33:21</v>
      </c>
      <c r="B235" s="95" t="str">
        <f>dados_01!B235</f>
        <v>1</v>
      </c>
      <c r="C235" s="95" t="str">
        <f>IFERROR(__xludf.DUMMYFUNCTION("JOIN("". "", ARRAYFORMULA(IFERROR(LEFT(SPLIT(dados_01!C235, "" ""), 1))))"),"M. L. S. D. S")</f>
        <v>M. L. S. D. S</v>
      </c>
      <c r="D235" s="95" t="str">
        <f>dados_01!D235</f>
        <v>20/07/2024</v>
      </c>
      <c r="E235" s="95" t="str">
        <f>CONCATENATE(LEFT(dados_01!E235,3),REPT("*",6),RIGHT(dados_01!E235,2))</f>
        <v>003******16</v>
      </c>
      <c r="F235" s="95" t="str">
        <f>dados_01!F235</f>
        <v>INFANTIL 1</v>
      </c>
      <c r="G235" s="95" t="str">
        <f>dados_01!G235</f>
        <v>CRECHE PROFESSORA LEDA MARIA QUEIROZ DO REGO BARROS</v>
      </c>
      <c r="H235" s="95" t="str">
        <f>dados_01!H235</f>
        <v>REGIONAL 2</v>
      </c>
      <c r="I235" s="95">
        <f>dados_01!I235</f>
        <v>0</v>
      </c>
      <c r="J235" s="95"/>
      <c r="K235" s="95"/>
      <c r="L235" s="95"/>
      <c r="M235" s="95"/>
      <c r="N235" s="95"/>
      <c r="O235" s="95"/>
      <c r="P235" s="95"/>
      <c r="Q235" s="95"/>
      <c r="R235" s="95"/>
      <c r="S235" s="95"/>
      <c r="T235" s="95"/>
      <c r="U235" s="95"/>
      <c r="V235" s="95"/>
      <c r="W235" s="95"/>
      <c r="X235" s="95"/>
      <c r="Y235" s="95"/>
      <c r="Z235" s="95"/>
    </row>
    <row r="236" ht="15.75" customHeight="1" spans="1:26">
      <c r="A236" s="95" t="str">
        <f>dados_01!A236</f>
        <v>05/04/2026 16:11:06</v>
      </c>
      <c r="B236" s="95" t="str">
        <f>dados_01!B236</f>
        <v>2</v>
      </c>
      <c r="C236" s="95" t="str">
        <f>IFERROR(__xludf.DUMMYFUNCTION("JOIN("". "", ARRAYFORMULA(IFERROR(LEFT(SPLIT(dados_01!C236, "" ""), 1))))"),"T. N. F. G")</f>
        <v>T. N. F. G</v>
      </c>
      <c r="D236" s="95" t="str">
        <f>dados_01!D236</f>
        <v>27/09/2024</v>
      </c>
      <c r="E236" s="95" t="str">
        <f>CONCATENATE(LEFT(dados_01!E236,3),REPT("*",6),RIGHT(dados_01!E236,2))</f>
        <v>004******13</v>
      </c>
      <c r="F236" s="95" t="str">
        <f>dados_01!F236</f>
        <v>INFANTIL 1</v>
      </c>
      <c r="G236" s="95" t="str">
        <f>dados_01!G236</f>
        <v>CRECHE PROFESSORA LEDA MARIA QUEIROZ DO REGO BARROS</v>
      </c>
      <c r="H236" s="95" t="str">
        <f>dados_01!H236</f>
        <v>REGIONAL 2</v>
      </c>
      <c r="I236" s="95">
        <f>dados_01!I236</f>
        <v>0</v>
      </c>
      <c r="J236" s="95"/>
      <c r="K236" s="95"/>
      <c r="L236" s="95"/>
      <c r="M236" s="95"/>
      <c r="N236" s="95"/>
      <c r="O236" s="95"/>
      <c r="P236" s="95"/>
      <c r="Q236" s="95"/>
      <c r="R236" s="95"/>
      <c r="S236" s="95"/>
      <c r="T236" s="95"/>
      <c r="U236" s="95"/>
      <c r="V236" s="95"/>
      <c r="W236" s="95"/>
      <c r="X236" s="95"/>
      <c r="Y236" s="95"/>
      <c r="Z236" s="95"/>
    </row>
    <row r="237" ht="15.75" customHeight="1" spans="1:26">
      <c r="A237" s="95" t="str">
        <f>dados_01!A237</f>
        <v>25/05/2026 11:20:13</v>
      </c>
      <c r="B237" s="95" t="str">
        <f>dados_01!B237</f>
        <v>3</v>
      </c>
      <c r="C237" s="95" t="str">
        <f>IFERROR(__xludf.DUMMYFUNCTION("JOIN("". "", ARRAYFORMULA(IFERROR(LEFT(SPLIT(dados_01!C237, "" ""), 1))))"),"M. C. M. D. S")</f>
        <v>M. C. M. D. S</v>
      </c>
      <c r="D237" s="95" t="str">
        <f>dados_01!D237</f>
        <v>22/04/2024</v>
      </c>
      <c r="E237" s="95" t="str">
        <f>CONCATENATE(LEFT(dados_01!E237,3),REPT("*",6),RIGHT(dados_01!E237,2))</f>
        <v>003******40</v>
      </c>
      <c r="F237" s="95" t="str">
        <f>dados_01!F237</f>
        <v>INFANTIL 1</v>
      </c>
      <c r="G237" s="95" t="str">
        <f>dados_01!G237</f>
        <v>CRECHE PROFESSORA LEDA MARIA QUEIROZ DO REGO BARROS</v>
      </c>
      <c r="H237" s="95" t="str">
        <f>dados_01!H237</f>
        <v>REGIONAL 2</v>
      </c>
      <c r="I237" s="95">
        <f>dados_01!I237</f>
        <v>0</v>
      </c>
      <c r="J237" s="95"/>
      <c r="K237" s="95"/>
      <c r="L237" s="95"/>
      <c r="M237" s="95"/>
      <c r="N237" s="95"/>
      <c r="O237" s="95"/>
      <c r="P237" s="95"/>
      <c r="Q237" s="95"/>
      <c r="R237" s="95"/>
      <c r="S237" s="95"/>
      <c r="T237" s="95"/>
      <c r="U237" s="95"/>
      <c r="V237" s="95"/>
      <c r="W237" s="95"/>
      <c r="X237" s="95"/>
      <c r="Y237" s="95"/>
      <c r="Z237" s="95"/>
    </row>
    <row r="238" ht="15.75" customHeight="1" spans="1:26">
      <c r="A238" s="95" t="str">
        <f>dados_01!A238</f>
        <v>02/02/2026 18:41:44</v>
      </c>
      <c r="B238" s="95" t="str">
        <f>dados_01!B238</f>
        <v>1</v>
      </c>
      <c r="C238" s="95" t="str">
        <f>IFERROR(__xludf.DUMMYFUNCTION("JOIN("". "", ARRAYFORMULA(IFERROR(LEFT(SPLIT(dados_01!C238, "" ""), 1))))"),"Y. K. D. S. P")</f>
        <v>Y. K. D. S. P</v>
      </c>
      <c r="D238" s="95" t="str">
        <f>dados_01!D238</f>
        <v>24/06/2023</v>
      </c>
      <c r="E238" s="95" t="str">
        <f>CONCATENATE(LEFT(dados_01!E238,3),REPT("*",6),RIGHT(dados_01!E238,2))</f>
        <v>185******44</v>
      </c>
      <c r="F238" s="95" t="str">
        <f>dados_01!F238</f>
        <v>INFANTIL 2</v>
      </c>
      <c r="G238" s="95" t="str">
        <f>dados_01!G238</f>
        <v>CRECHE PROFESSORA LEDA MARIA QUEIROZ DO REGO BARROS</v>
      </c>
      <c r="H238" s="95" t="str">
        <f>dados_01!H238</f>
        <v>REGIONAL 2</v>
      </c>
      <c r="I238" s="95">
        <f>dados_01!I238</f>
        <v>0</v>
      </c>
      <c r="J238" s="95"/>
      <c r="K238" s="95"/>
      <c r="L238" s="95"/>
      <c r="M238" s="95"/>
      <c r="N238" s="95"/>
      <c r="O238" s="95"/>
      <c r="P238" s="95"/>
      <c r="Q238" s="95"/>
      <c r="R238" s="95"/>
      <c r="S238" s="95"/>
      <c r="T238" s="95"/>
      <c r="U238" s="95"/>
      <c r="V238" s="95"/>
      <c r="W238" s="95"/>
      <c r="X238" s="95"/>
      <c r="Y238" s="95"/>
      <c r="Z238" s="95"/>
    </row>
    <row r="239" ht="15.75" customHeight="1" spans="1:26">
      <c r="A239" s="95" t="str">
        <f>dados_01!A239</f>
        <v>09/02/2026 08:20:49</v>
      </c>
      <c r="B239" s="95" t="str">
        <f>dados_01!B239</f>
        <v>2</v>
      </c>
      <c r="C239" s="95" t="str">
        <f>IFERROR(__xludf.DUMMYFUNCTION("JOIN("". "", ARRAYFORMULA(IFERROR(LEFT(SPLIT(dados_01!C239, "" ""), 1))))"),"T. R. D. S")</f>
        <v>T. R. D. S</v>
      </c>
      <c r="D239" s="95" t="str">
        <f>dados_01!D239</f>
        <v>10/03/2024</v>
      </c>
      <c r="E239" s="95" t="str">
        <f>CONCATENATE(LEFT(dados_01!E239,3),REPT("*",6),RIGHT(dados_01!E239,2))</f>
        <v>002******98</v>
      </c>
      <c r="F239" s="95" t="str">
        <f>dados_01!F239</f>
        <v>INFANTIL 2</v>
      </c>
      <c r="G239" s="95" t="str">
        <f>dados_01!G239</f>
        <v>CRECHE PROFESSORA LEDA MARIA QUEIROZ DO REGO BARROS</v>
      </c>
      <c r="H239" s="95" t="str">
        <f>dados_01!H239</f>
        <v>REGIONAL 2</v>
      </c>
      <c r="I239" s="95">
        <f>dados_01!I239</f>
        <v>0</v>
      </c>
      <c r="J239" s="95"/>
      <c r="K239" s="95"/>
      <c r="L239" s="95"/>
      <c r="M239" s="95"/>
      <c r="N239" s="95"/>
      <c r="O239" s="95"/>
      <c r="P239" s="95"/>
      <c r="Q239" s="95"/>
      <c r="R239" s="95"/>
      <c r="S239" s="95"/>
      <c r="T239" s="95"/>
      <c r="U239" s="95"/>
      <c r="V239" s="95"/>
      <c r="W239" s="95"/>
      <c r="X239" s="95"/>
      <c r="Y239" s="95"/>
      <c r="Z239" s="95"/>
    </row>
    <row r="240" ht="15.75" customHeight="1" spans="1:26">
      <c r="A240" s="95" t="str">
        <f>dados_01!A240</f>
        <v>09/03/2026 10:20:55</v>
      </c>
      <c r="B240" s="95" t="str">
        <f>dados_01!B240</f>
        <v>3</v>
      </c>
      <c r="C240" s="95" t="str">
        <f>IFERROR(__xludf.DUMMYFUNCTION("JOIN("". "", ARRAYFORMULA(IFERROR(LEFT(SPLIT(dados_01!C240, "" ""), 1))))"),"S. J. D. S. A")</f>
        <v>S. J. D. S. A</v>
      </c>
      <c r="D240" s="95" t="str">
        <f>dados_01!D240</f>
        <v>19/06/2023</v>
      </c>
      <c r="E240" s="95" t="str">
        <f>CONCATENATE(LEFT(dados_01!E240,3),REPT("*",6),RIGHT(dados_01!E240,2))</f>
        <v>185******81</v>
      </c>
      <c r="F240" s="95" t="str">
        <f>dados_01!F240</f>
        <v>INFANTIL 2</v>
      </c>
      <c r="G240" s="95" t="str">
        <f>dados_01!G240</f>
        <v>CRECHE PROFESSORA LEDA MARIA QUEIROZ DO REGO BARROS</v>
      </c>
      <c r="H240" s="95" t="str">
        <f>dados_01!H240</f>
        <v>REGIONAL 2</v>
      </c>
      <c r="I240" s="95">
        <f>dados_01!I240</f>
        <v>0</v>
      </c>
      <c r="J240" s="95"/>
      <c r="K240" s="95"/>
      <c r="L240" s="95"/>
      <c r="M240" s="95"/>
      <c r="N240" s="95"/>
      <c r="O240" s="95"/>
      <c r="P240" s="95"/>
      <c r="Q240" s="95"/>
      <c r="R240" s="95"/>
      <c r="S240" s="95"/>
      <c r="T240" s="95"/>
      <c r="U240" s="95"/>
      <c r="V240" s="95"/>
      <c r="W240" s="95"/>
      <c r="X240" s="95"/>
      <c r="Y240" s="95"/>
      <c r="Z240" s="95"/>
    </row>
    <row r="241" ht="15.75" customHeight="1" spans="1:26">
      <c r="A241" s="95" t="str">
        <f>dados_01!A241</f>
        <v>10/04/2026 02:09:34</v>
      </c>
      <c r="B241" s="95" t="str">
        <f>dados_01!B241</f>
        <v>4</v>
      </c>
      <c r="C241" s="95" t="str">
        <f>IFERROR(__xludf.DUMMYFUNCTION("JOIN("". "", ARRAYFORMULA(IFERROR(LEFT(SPLIT(dados_01!C241, "" ""), 1))))"),"S. R. S. D. N")</f>
        <v>S. R. S. D. N</v>
      </c>
      <c r="D241" s="95" t="str">
        <f>dados_01!D241</f>
        <v>10/08/2023</v>
      </c>
      <c r="E241" s="95" t="str">
        <f>CONCATENATE(LEFT(dados_01!E241,3),REPT("*",6),RIGHT(dados_01!E241,2))</f>
        <v>186******67</v>
      </c>
      <c r="F241" s="95" t="str">
        <f>dados_01!F241</f>
        <v>INFANTIL 2</v>
      </c>
      <c r="G241" s="95" t="str">
        <f>dados_01!G241</f>
        <v>CRECHE PROFESSORA LEDA MARIA QUEIROZ DO REGO BARROS</v>
      </c>
      <c r="H241" s="95" t="str">
        <f>dados_01!H241</f>
        <v>REGIONAL 2</v>
      </c>
      <c r="I241" s="95">
        <f>dados_01!I241</f>
        <v>0</v>
      </c>
      <c r="J241" s="95"/>
      <c r="K241" s="95"/>
      <c r="L241" s="95"/>
      <c r="M241" s="95"/>
      <c r="N241" s="95"/>
      <c r="O241" s="95"/>
      <c r="P241" s="95"/>
      <c r="Q241" s="95"/>
      <c r="R241" s="95"/>
      <c r="S241" s="95"/>
      <c r="T241" s="95"/>
      <c r="U241" s="95"/>
      <c r="V241" s="95"/>
      <c r="W241" s="95"/>
      <c r="X241" s="95"/>
      <c r="Y241" s="95"/>
      <c r="Z241" s="95"/>
    </row>
    <row r="242" ht="15.75" customHeight="1" spans="1:26">
      <c r="A242" s="95" t="str">
        <f>dados_01!A242</f>
        <v>22/04/2026 11:52:44</v>
      </c>
      <c r="B242" s="95" t="str">
        <f>dados_01!B242</f>
        <v>5</v>
      </c>
      <c r="C242" s="95" t="str">
        <f>IFERROR(__xludf.DUMMYFUNCTION("JOIN("". "", ARRAYFORMULA(IFERROR(LEFT(SPLIT(dados_01!C242, "" ""), 1))))"),"H. M. F")</f>
        <v>H. M. F</v>
      </c>
      <c r="D242" s="95" t="str">
        <f>dados_01!D242</f>
        <v>15/07/2023</v>
      </c>
      <c r="E242" s="95" t="str">
        <f>CONCATENATE(LEFT(dados_01!E242,3),REPT("*",6),RIGHT(dados_01!E242,2))</f>
        <v>186******47</v>
      </c>
      <c r="F242" s="95" t="str">
        <f>dados_01!F242</f>
        <v>INFANTIL 2</v>
      </c>
      <c r="G242" s="95" t="str">
        <f>dados_01!G242</f>
        <v>CRECHE PROFESSORA LEDA MARIA QUEIROZ DO REGO BARROS</v>
      </c>
      <c r="H242" s="95" t="str">
        <f>dados_01!H242</f>
        <v>REGIONAL 2</v>
      </c>
      <c r="I242" s="95">
        <f>dados_01!I242</f>
        <v>0</v>
      </c>
      <c r="J242" s="95"/>
      <c r="K242" s="95"/>
      <c r="L242" s="95"/>
      <c r="M242" s="95"/>
      <c r="N242" s="95"/>
      <c r="O242" s="95"/>
      <c r="P242" s="95"/>
      <c r="Q242" s="95"/>
      <c r="R242" s="95"/>
      <c r="S242" s="95"/>
      <c r="T242" s="95"/>
      <c r="U242" s="95"/>
      <c r="V242" s="95"/>
      <c r="W242" s="95"/>
      <c r="X242" s="95"/>
      <c r="Y242" s="95"/>
      <c r="Z242" s="95"/>
    </row>
    <row r="243" ht="15.75" customHeight="1" spans="1:26">
      <c r="A243" s="95">
        <f>dados_01!A243</f>
        <v>0</v>
      </c>
      <c r="B243" s="95">
        <f>dados_01!B243</f>
        <v>0</v>
      </c>
      <c r="C243" s="95" t="str">
        <f>IFERROR(__xludf.DUMMYFUNCTION("JOIN("". "", ARRAYFORMULA(IFERROR(LEFT(SPLIT(dados_01!C243, "" ""), 1))))"),"")</f>
        <v/>
      </c>
      <c r="D243" s="95">
        <f>dados_01!D243</f>
        <v>0</v>
      </c>
      <c r="E243" s="95" t="str">
        <f>CONCATENATE(LEFT(dados_01!E243,3),REPT("*",6),RIGHT(dados_01!E243,2))</f>
        <v>******</v>
      </c>
      <c r="F243" s="95">
        <f>dados_01!F243</f>
        <v>0</v>
      </c>
      <c r="G243" s="95">
        <f>dados_01!G243</f>
        <v>0</v>
      </c>
      <c r="H243" s="95">
        <f>dados_01!H243</f>
        <v>0</v>
      </c>
      <c r="I243" s="95">
        <f>dados_01!I243</f>
        <v>0</v>
      </c>
      <c r="J243" s="95"/>
      <c r="K243" s="95"/>
      <c r="L243" s="95"/>
      <c r="M243" s="95"/>
      <c r="N243" s="95"/>
      <c r="O243" s="95"/>
      <c r="P243" s="95"/>
      <c r="Q243" s="95"/>
      <c r="R243" s="95"/>
      <c r="S243" s="95"/>
      <c r="T243" s="95"/>
      <c r="U243" s="95"/>
      <c r="V243" s="95"/>
      <c r="W243" s="95"/>
      <c r="X243" s="95"/>
      <c r="Y243" s="95"/>
      <c r="Z243" s="95"/>
    </row>
    <row r="244" ht="15.75" customHeight="1" spans="1:26">
      <c r="A244" s="95">
        <f>dados_01!A244</f>
        <v>0</v>
      </c>
      <c r="B244" s="95">
        <f>dados_01!B244</f>
        <v>0</v>
      </c>
      <c r="C244" s="95" t="str">
        <f>IFERROR(__xludf.DUMMYFUNCTION("JOIN("". "", ARRAYFORMULA(IFERROR(LEFT(SPLIT(dados_01!C244, "" ""), 1))))"),"")</f>
        <v/>
      </c>
      <c r="D244" s="95">
        <f>dados_01!D244</f>
        <v>0</v>
      </c>
      <c r="E244" s="95" t="str">
        <f>CONCATENATE(LEFT(dados_01!E244,3),REPT("*",6),RIGHT(dados_01!E244,2))</f>
        <v>******</v>
      </c>
      <c r="F244" s="95">
        <f>dados_01!F244</f>
        <v>0</v>
      </c>
      <c r="G244" s="95">
        <f>dados_01!G244</f>
        <v>0</v>
      </c>
      <c r="H244" s="95">
        <f>dados_01!H244</f>
        <v>0</v>
      </c>
      <c r="I244" s="95">
        <f>dados_01!I244</f>
        <v>0</v>
      </c>
      <c r="J244" s="95"/>
      <c r="K244" s="95"/>
      <c r="L244" s="95"/>
      <c r="M244" s="95"/>
      <c r="N244" s="95"/>
      <c r="O244" s="95"/>
      <c r="P244" s="95"/>
      <c r="Q244" s="95"/>
      <c r="R244" s="95"/>
      <c r="S244" s="95"/>
      <c r="T244" s="95"/>
      <c r="U244" s="95"/>
      <c r="V244" s="95"/>
      <c r="W244" s="95"/>
      <c r="X244" s="95"/>
      <c r="Y244" s="95"/>
      <c r="Z244" s="95"/>
    </row>
    <row r="245" ht="15.75" customHeight="1" spans="1:26">
      <c r="A245" s="95">
        <f>dados_01!A245</f>
        <v>0</v>
      </c>
      <c r="B245" s="95">
        <f>dados_01!B245</f>
        <v>0</v>
      </c>
      <c r="C245" s="95" t="str">
        <f>IFERROR(__xludf.DUMMYFUNCTION("JOIN("". "", ARRAYFORMULA(IFERROR(LEFT(SPLIT(dados_01!C245, "" ""), 1))))"),"")</f>
        <v/>
      </c>
      <c r="D245" s="95">
        <f>dados_01!D245</f>
        <v>0</v>
      </c>
      <c r="E245" s="95" t="str">
        <f>CONCATENATE(LEFT(dados_01!E245,3),REPT("*",6),RIGHT(dados_01!E245,2))</f>
        <v>******</v>
      </c>
      <c r="F245" s="95">
        <f>dados_01!F245</f>
        <v>0</v>
      </c>
      <c r="G245" s="95">
        <f>dados_01!G245</f>
        <v>0</v>
      </c>
      <c r="H245" s="95">
        <f>dados_01!H245</f>
        <v>0</v>
      </c>
      <c r="I245" s="95">
        <f>dados_01!I245</f>
        <v>0</v>
      </c>
      <c r="J245" s="95"/>
      <c r="K245" s="95"/>
      <c r="L245" s="95"/>
      <c r="M245" s="95"/>
      <c r="N245" s="95"/>
      <c r="O245" s="95"/>
      <c r="P245" s="95"/>
      <c r="Q245" s="95"/>
      <c r="R245" s="95"/>
      <c r="S245" s="95"/>
      <c r="T245" s="95"/>
      <c r="U245" s="95"/>
      <c r="V245" s="95"/>
      <c r="W245" s="95"/>
      <c r="X245" s="95"/>
      <c r="Y245" s="95"/>
      <c r="Z245" s="95"/>
    </row>
    <row r="246" ht="15.75" customHeight="1" spans="1:26">
      <c r="A246" s="95">
        <f>dados_01!A246</f>
        <v>0</v>
      </c>
      <c r="B246" s="95">
        <f>dados_01!B246</f>
        <v>0</v>
      </c>
      <c r="C246" s="95" t="str">
        <f>IFERROR(__xludf.DUMMYFUNCTION("JOIN("". "", ARRAYFORMULA(IFERROR(LEFT(SPLIT(dados_01!C246, "" ""), 1))))"),"")</f>
        <v/>
      </c>
      <c r="D246" s="95">
        <f>dados_01!D246</f>
        <v>0</v>
      </c>
      <c r="E246" s="95" t="str">
        <f>CONCATENATE(LEFT(dados_01!E246,3),REPT("*",6),RIGHT(dados_01!E246,2))</f>
        <v>******</v>
      </c>
      <c r="F246" s="95">
        <f>dados_01!F246</f>
        <v>0</v>
      </c>
      <c r="G246" s="95">
        <f>dados_01!G246</f>
        <v>0</v>
      </c>
      <c r="H246" s="95">
        <f>dados_01!H246</f>
        <v>0</v>
      </c>
      <c r="I246" s="95">
        <f>dados_01!I246</f>
        <v>0</v>
      </c>
      <c r="J246" s="95"/>
      <c r="K246" s="95"/>
      <c r="L246" s="95"/>
      <c r="M246" s="95"/>
      <c r="N246" s="95"/>
      <c r="O246" s="95"/>
      <c r="P246" s="95"/>
      <c r="Q246" s="95"/>
      <c r="R246" s="95"/>
      <c r="S246" s="95"/>
      <c r="T246" s="95"/>
      <c r="U246" s="95"/>
      <c r="V246" s="95"/>
      <c r="W246" s="95"/>
      <c r="X246" s="95"/>
      <c r="Y246" s="95"/>
      <c r="Z246" s="95"/>
    </row>
    <row r="247" ht="15.75" customHeight="1" spans="1:26">
      <c r="A247" s="95">
        <f>dados_01!A247</f>
        <v>0</v>
      </c>
      <c r="B247" s="95">
        <f>dados_01!B247</f>
        <v>0</v>
      </c>
      <c r="C247" s="95" t="str">
        <f>IFERROR(__xludf.DUMMYFUNCTION("JOIN("". "", ARRAYFORMULA(IFERROR(LEFT(SPLIT(dados_01!C247, "" ""), 1))))"),"")</f>
        <v/>
      </c>
      <c r="D247" s="95">
        <f>dados_01!D247</f>
        <v>0</v>
      </c>
      <c r="E247" s="95" t="str">
        <f>CONCATENATE(LEFT(dados_01!E247,3),REPT("*",6),RIGHT(dados_01!E247,2))</f>
        <v>******</v>
      </c>
      <c r="F247" s="95">
        <f>dados_01!F247</f>
        <v>0</v>
      </c>
      <c r="G247" s="95">
        <f>dados_01!G247</f>
        <v>0</v>
      </c>
      <c r="H247" s="95">
        <f>dados_01!H247</f>
        <v>0</v>
      </c>
      <c r="I247" s="95">
        <f>dados_01!I247</f>
        <v>0</v>
      </c>
      <c r="J247" s="95"/>
      <c r="K247" s="95"/>
      <c r="L247" s="95"/>
      <c r="M247" s="95"/>
      <c r="N247" s="95"/>
      <c r="O247" s="95"/>
      <c r="P247" s="95"/>
      <c r="Q247" s="95"/>
      <c r="R247" s="95"/>
      <c r="S247" s="95"/>
      <c r="T247" s="95"/>
      <c r="U247" s="95"/>
      <c r="V247" s="95"/>
      <c r="W247" s="95"/>
      <c r="X247" s="95"/>
      <c r="Y247" s="95"/>
      <c r="Z247" s="95"/>
    </row>
    <row r="248" ht="15.75" customHeight="1" spans="1:26">
      <c r="A248" s="95">
        <f>dados_01!A248</f>
        <v>0</v>
      </c>
      <c r="B248" s="95">
        <f>dados_01!B248</f>
        <v>0</v>
      </c>
      <c r="C248" s="95" t="str">
        <f>IFERROR(__xludf.DUMMYFUNCTION("JOIN("". "", ARRAYFORMULA(IFERROR(LEFT(SPLIT(dados_01!C248, "" ""), 1))))"),"")</f>
        <v/>
      </c>
      <c r="D248" s="95">
        <f>dados_01!D248</f>
        <v>0</v>
      </c>
      <c r="E248" s="95" t="str">
        <f>CONCATENATE(LEFT(dados_01!E248,3),REPT("*",6),RIGHT(dados_01!E248,2))</f>
        <v>******</v>
      </c>
      <c r="F248" s="95">
        <f>dados_01!F248</f>
        <v>0</v>
      </c>
      <c r="G248" s="95">
        <f>dados_01!G248</f>
        <v>0</v>
      </c>
      <c r="H248" s="95">
        <f>dados_01!H248</f>
        <v>0</v>
      </c>
      <c r="I248" s="95">
        <f>dados_01!I248</f>
        <v>0</v>
      </c>
      <c r="J248" s="95"/>
      <c r="K248" s="95"/>
      <c r="L248" s="95"/>
      <c r="M248" s="95"/>
      <c r="N248" s="95"/>
      <c r="O248" s="95"/>
      <c r="P248" s="95"/>
      <c r="Q248" s="95"/>
      <c r="R248" s="95"/>
      <c r="S248" s="95"/>
      <c r="T248" s="95"/>
      <c r="U248" s="95"/>
      <c r="V248" s="95"/>
      <c r="W248" s="95"/>
      <c r="X248" s="95"/>
      <c r="Y248" s="95"/>
      <c r="Z248" s="95"/>
    </row>
    <row r="249" ht="15.75" customHeight="1" spans="1:26">
      <c r="A249" s="95">
        <f>dados_01!A249</f>
        <v>0</v>
      </c>
      <c r="B249" s="95">
        <f>dados_01!B249</f>
        <v>0</v>
      </c>
      <c r="C249" s="95" t="str">
        <f>IFERROR(__xludf.DUMMYFUNCTION("JOIN("". "", ARRAYFORMULA(IFERROR(LEFT(SPLIT(dados_01!C249, "" ""), 1))))"),"")</f>
        <v/>
      </c>
      <c r="D249" s="95">
        <f>dados_01!D249</f>
        <v>0</v>
      </c>
      <c r="E249" s="95" t="str">
        <f>CONCATENATE(LEFT(dados_01!E249,3),REPT("*",6),RIGHT(dados_01!E249,2))</f>
        <v>******</v>
      </c>
      <c r="F249" s="95">
        <f>dados_01!F249</f>
        <v>0</v>
      </c>
      <c r="G249" s="95">
        <f>dados_01!G249</f>
        <v>0</v>
      </c>
      <c r="H249" s="95">
        <f>dados_01!H249</f>
        <v>0</v>
      </c>
      <c r="I249" s="95">
        <f>dados_01!I249</f>
        <v>0</v>
      </c>
      <c r="J249" s="95"/>
      <c r="K249" s="95"/>
      <c r="L249" s="95"/>
      <c r="M249" s="95"/>
      <c r="N249" s="95"/>
      <c r="O249" s="95"/>
      <c r="P249" s="95"/>
      <c r="Q249" s="95"/>
      <c r="R249" s="95"/>
      <c r="S249" s="95"/>
      <c r="T249" s="95"/>
      <c r="U249" s="95"/>
      <c r="V249" s="95"/>
      <c r="W249" s="95"/>
      <c r="X249" s="95"/>
      <c r="Y249" s="95"/>
      <c r="Z249" s="95"/>
    </row>
    <row r="250" ht="15.75" customHeight="1" spans="1:26">
      <c r="A250" s="95">
        <f>dados_01!A250</f>
        <v>0</v>
      </c>
      <c r="B250" s="95">
        <f>dados_01!B250</f>
        <v>0</v>
      </c>
      <c r="C250" s="95" t="str">
        <f>IFERROR(__xludf.DUMMYFUNCTION("JOIN("". "", ARRAYFORMULA(IFERROR(LEFT(SPLIT(dados_01!C250, "" ""), 1))))"),"")</f>
        <v/>
      </c>
      <c r="D250" s="95">
        <f>dados_01!D250</f>
        <v>0</v>
      </c>
      <c r="E250" s="95" t="str">
        <f>CONCATENATE(LEFT(dados_01!E250,3),REPT("*",6),RIGHT(dados_01!E250,2))</f>
        <v>******</v>
      </c>
      <c r="F250" s="95">
        <f>dados_01!F250</f>
        <v>0</v>
      </c>
      <c r="G250" s="95">
        <f>dados_01!G250</f>
        <v>0</v>
      </c>
      <c r="H250" s="95">
        <f>dados_01!H250</f>
        <v>0</v>
      </c>
      <c r="I250" s="95">
        <f>dados_01!I250</f>
        <v>0</v>
      </c>
      <c r="J250" s="95"/>
      <c r="K250" s="95"/>
      <c r="L250" s="95"/>
      <c r="M250" s="95"/>
      <c r="N250" s="95"/>
      <c r="O250" s="95"/>
      <c r="P250" s="95"/>
      <c r="Q250" s="95"/>
      <c r="R250" s="95"/>
      <c r="S250" s="95"/>
      <c r="T250" s="95"/>
      <c r="U250" s="95"/>
      <c r="V250" s="95"/>
      <c r="W250" s="95"/>
      <c r="X250" s="95"/>
      <c r="Y250" s="95"/>
      <c r="Z250" s="95"/>
    </row>
    <row r="251" ht="15.75" customHeight="1" spans="1:26">
      <c r="A251" s="95">
        <f>dados_01!A251</f>
        <v>0</v>
      </c>
      <c r="B251" s="95">
        <f>dados_01!B251</f>
        <v>0</v>
      </c>
      <c r="C251" s="95" t="str">
        <f>IFERROR(__xludf.DUMMYFUNCTION("JOIN("". "", ARRAYFORMULA(IFERROR(LEFT(SPLIT(dados_01!C251, "" ""), 1))))"),"")</f>
        <v/>
      </c>
      <c r="D251" s="95">
        <f>dados_01!D251</f>
        <v>0</v>
      </c>
      <c r="E251" s="95" t="str">
        <f>CONCATENATE(LEFT(dados_01!E251,3),REPT("*",6),RIGHT(dados_01!E251,2))</f>
        <v>******</v>
      </c>
      <c r="F251" s="95">
        <f>dados_01!F251</f>
        <v>0</v>
      </c>
      <c r="G251" s="95">
        <f>dados_01!G251</f>
        <v>0</v>
      </c>
      <c r="H251" s="95">
        <f>dados_01!H251</f>
        <v>0</v>
      </c>
      <c r="I251" s="95">
        <f>dados_01!I251</f>
        <v>0</v>
      </c>
      <c r="J251" s="95"/>
      <c r="K251" s="95"/>
      <c r="L251" s="95"/>
      <c r="M251" s="95"/>
      <c r="N251" s="95"/>
      <c r="O251" s="95"/>
      <c r="P251" s="95"/>
      <c r="Q251" s="95"/>
      <c r="R251" s="95"/>
      <c r="S251" s="95"/>
      <c r="T251" s="95"/>
      <c r="U251" s="95"/>
      <c r="V251" s="95"/>
      <c r="W251" s="95"/>
      <c r="X251" s="95"/>
      <c r="Y251" s="95"/>
      <c r="Z251" s="95"/>
    </row>
    <row r="252" ht="15.75" customHeight="1" spans="1:26">
      <c r="A252" s="95">
        <f>dados_01!A252</f>
        <v>0</v>
      </c>
      <c r="B252" s="95">
        <f>dados_01!B252</f>
        <v>0</v>
      </c>
      <c r="C252" s="95" t="str">
        <f>IFERROR(__xludf.DUMMYFUNCTION("JOIN("". "", ARRAYFORMULA(IFERROR(LEFT(SPLIT(dados_01!C252, "" ""), 1))))"),"")</f>
        <v/>
      </c>
      <c r="D252" s="95">
        <f>dados_01!D252</f>
        <v>0</v>
      </c>
      <c r="E252" s="95" t="str">
        <f>CONCATENATE(LEFT(dados_01!E252,3),REPT("*",6),RIGHT(dados_01!E252,2))</f>
        <v>******</v>
      </c>
      <c r="F252" s="95">
        <f>dados_01!F252</f>
        <v>0</v>
      </c>
      <c r="G252" s="95">
        <f>dados_01!G252</f>
        <v>0</v>
      </c>
      <c r="H252" s="95">
        <f>dados_01!H252</f>
        <v>0</v>
      </c>
      <c r="I252" s="95">
        <f>dados_01!I252</f>
        <v>0</v>
      </c>
      <c r="J252" s="95"/>
      <c r="K252" s="95"/>
      <c r="L252" s="95"/>
      <c r="M252" s="95"/>
      <c r="N252" s="95"/>
      <c r="O252" s="95"/>
      <c r="P252" s="95"/>
      <c r="Q252" s="95"/>
      <c r="R252" s="95"/>
      <c r="S252" s="95"/>
      <c r="T252" s="95"/>
      <c r="U252" s="95"/>
      <c r="V252" s="95"/>
      <c r="W252" s="95"/>
      <c r="X252" s="95"/>
      <c r="Y252" s="95"/>
      <c r="Z252" s="95"/>
    </row>
    <row r="253" ht="15.75" customHeight="1" spans="1:26">
      <c r="A253" s="95">
        <f>dados_01!A253</f>
        <v>0</v>
      </c>
      <c r="B253" s="95">
        <f>dados_01!B253</f>
        <v>0</v>
      </c>
      <c r="C253" s="95" t="str">
        <f>IFERROR(__xludf.DUMMYFUNCTION("JOIN("". "", ARRAYFORMULA(IFERROR(LEFT(SPLIT(dados_01!C253, "" ""), 1))))"),"")</f>
        <v/>
      </c>
      <c r="D253" s="95">
        <f>dados_01!D253</f>
        <v>0</v>
      </c>
      <c r="E253" s="95" t="str">
        <f>CONCATENATE(LEFT(dados_01!E253,3),REPT("*",6),RIGHT(dados_01!E253,2))</f>
        <v>******</v>
      </c>
      <c r="F253" s="95">
        <f>dados_01!F253</f>
        <v>0</v>
      </c>
      <c r="G253" s="95">
        <f>dados_01!G253</f>
        <v>0</v>
      </c>
      <c r="H253" s="95">
        <f>dados_01!H253</f>
        <v>0</v>
      </c>
      <c r="I253" s="95">
        <f>dados_01!I253</f>
        <v>0</v>
      </c>
      <c r="J253" s="95"/>
      <c r="K253" s="95"/>
      <c r="L253" s="95"/>
      <c r="M253" s="95"/>
      <c r="N253" s="95"/>
      <c r="O253" s="95"/>
      <c r="P253" s="95"/>
      <c r="Q253" s="95"/>
      <c r="R253" s="95"/>
      <c r="S253" s="95"/>
      <c r="T253" s="95"/>
      <c r="U253" s="95"/>
      <c r="V253" s="95"/>
      <c r="W253" s="95"/>
      <c r="X253" s="95"/>
      <c r="Y253" s="95"/>
      <c r="Z253" s="95"/>
    </row>
    <row r="254" ht="15.75" customHeight="1" spans="1:26">
      <c r="A254" s="95">
        <f>dados_01!A254</f>
        <v>0</v>
      </c>
      <c r="B254" s="95">
        <f>dados_01!B254</f>
        <v>0</v>
      </c>
      <c r="C254" s="95" t="str">
        <f>IFERROR(__xludf.DUMMYFUNCTION("JOIN("". "", ARRAYFORMULA(IFERROR(LEFT(SPLIT(dados_01!C254, "" ""), 1))))"),"")</f>
        <v/>
      </c>
      <c r="D254" s="95">
        <f>dados_01!D254</f>
        <v>0</v>
      </c>
      <c r="E254" s="95" t="str">
        <f>CONCATENATE(LEFT(dados_01!E254,3),REPT("*",6),RIGHT(dados_01!E254,2))</f>
        <v>******</v>
      </c>
      <c r="F254" s="95">
        <f>dados_01!F254</f>
        <v>0</v>
      </c>
      <c r="G254" s="95">
        <f>dados_01!G254</f>
        <v>0</v>
      </c>
      <c r="H254" s="95">
        <f>dados_01!H254</f>
        <v>0</v>
      </c>
      <c r="I254" s="95">
        <f>dados_01!I254</f>
        <v>0</v>
      </c>
      <c r="J254" s="95"/>
      <c r="K254" s="95"/>
      <c r="L254" s="95"/>
      <c r="M254" s="95"/>
      <c r="N254" s="95"/>
      <c r="O254" s="95"/>
      <c r="P254" s="95"/>
      <c r="Q254" s="95"/>
      <c r="R254" s="95"/>
      <c r="S254" s="95"/>
      <c r="T254" s="95"/>
      <c r="U254" s="95"/>
      <c r="V254" s="95"/>
      <c r="W254" s="95"/>
      <c r="X254" s="95"/>
      <c r="Y254" s="95"/>
      <c r="Z254" s="95"/>
    </row>
    <row r="255" ht="15.75" customHeight="1" spans="1:26">
      <c r="A255" s="95">
        <f>dados_01!A255</f>
        <v>0</v>
      </c>
      <c r="B255" s="95">
        <f>dados_01!B255</f>
        <v>0</v>
      </c>
      <c r="C255" s="95" t="str">
        <f>IFERROR(__xludf.DUMMYFUNCTION("JOIN("". "", ARRAYFORMULA(IFERROR(LEFT(SPLIT(dados_01!C255, "" ""), 1))))"),"")</f>
        <v/>
      </c>
      <c r="D255" s="95">
        <f>dados_01!D255</f>
        <v>0</v>
      </c>
      <c r="E255" s="95" t="str">
        <f>CONCATENATE(LEFT(dados_01!E255,3),REPT("*",6),RIGHT(dados_01!E255,2))</f>
        <v>******</v>
      </c>
      <c r="F255" s="95">
        <f>dados_01!F255</f>
        <v>0</v>
      </c>
      <c r="G255" s="95">
        <f>dados_01!G255</f>
        <v>0</v>
      </c>
      <c r="H255" s="95">
        <f>dados_01!H255</f>
        <v>0</v>
      </c>
      <c r="I255" s="95">
        <f>dados_01!I255</f>
        <v>0</v>
      </c>
      <c r="J255" s="95"/>
      <c r="K255" s="95"/>
      <c r="L255" s="95"/>
      <c r="M255" s="95"/>
      <c r="N255" s="95"/>
      <c r="O255" s="95"/>
      <c r="P255" s="95"/>
      <c r="Q255" s="95"/>
      <c r="R255" s="95"/>
      <c r="S255" s="95"/>
      <c r="T255" s="95"/>
      <c r="U255" s="95"/>
      <c r="V255" s="95"/>
      <c r="W255" s="95"/>
      <c r="X255" s="95"/>
      <c r="Y255" s="95"/>
      <c r="Z255" s="95"/>
    </row>
    <row r="256" ht="15.75" customHeight="1" spans="1:26">
      <c r="A256" s="95">
        <f>dados_01!A256</f>
        <v>0</v>
      </c>
      <c r="B256" s="95">
        <f>dados_01!B256</f>
        <v>0</v>
      </c>
      <c r="C256" s="95" t="str">
        <f>IFERROR(__xludf.DUMMYFUNCTION("JOIN("". "", ARRAYFORMULA(IFERROR(LEFT(SPLIT(dados_01!C256, "" ""), 1))))"),"")</f>
        <v/>
      </c>
      <c r="D256" s="95">
        <f>dados_01!D256</f>
        <v>0</v>
      </c>
      <c r="E256" s="95" t="str">
        <f>CONCATENATE(LEFT(dados_01!E256,3),REPT("*",6),RIGHT(dados_01!E256,2))</f>
        <v>******</v>
      </c>
      <c r="F256" s="95">
        <f>dados_01!F256</f>
        <v>0</v>
      </c>
      <c r="G256" s="95">
        <f>dados_01!G256</f>
        <v>0</v>
      </c>
      <c r="H256" s="95">
        <f>dados_01!H256</f>
        <v>0</v>
      </c>
      <c r="I256" s="95">
        <f>dados_01!I256</f>
        <v>0</v>
      </c>
      <c r="J256" s="95"/>
      <c r="K256" s="95"/>
      <c r="L256" s="95"/>
      <c r="M256" s="95"/>
      <c r="N256" s="95"/>
      <c r="O256" s="95"/>
      <c r="P256" s="95"/>
      <c r="Q256" s="95"/>
      <c r="R256" s="95"/>
      <c r="S256" s="95"/>
      <c r="T256" s="95"/>
      <c r="U256" s="95"/>
      <c r="V256" s="95"/>
      <c r="W256" s="95"/>
      <c r="X256" s="95"/>
      <c r="Y256" s="95"/>
      <c r="Z256" s="95"/>
    </row>
    <row r="257" ht="15.75" customHeight="1" spans="1:26">
      <c r="A257" s="95">
        <f>dados_01!A257</f>
        <v>0</v>
      </c>
      <c r="B257" s="95">
        <f>dados_01!B257</f>
        <v>0</v>
      </c>
      <c r="C257" s="95" t="str">
        <f>IFERROR(__xludf.DUMMYFUNCTION("JOIN("". "", ARRAYFORMULA(IFERROR(LEFT(SPLIT(dados_01!C257, "" ""), 1))))"),"")</f>
        <v/>
      </c>
      <c r="D257" s="95">
        <f>dados_01!D257</f>
        <v>0</v>
      </c>
      <c r="E257" s="95" t="str">
        <f>CONCATENATE(LEFT(dados_01!E257,3),REPT("*",6),RIGHT(dados_01!E257,2))</f>
        <v>******</v>
      </c>
      <c r="F257" s="95">
        <f>dados_01!F257</f>
        <v>0</v>
      </c>
      <c r="G257" s="95">
        <f>dados_01!G257</f>
        <v>0</v>
      </c>
      <c r="H257" s="95">
        <f>dados_01!H257</f>
        <v>0</v>
      </c>
      <c r="I257" s="95">
        <f>dados_01!I257</f>
        <v>0</v>
      </c>
      <c r="J257" s="95"/>
      <c r="K257" s="95"/>
      <c r="L257" s="95"/>
      <c r="M257" s="95"/>
      <c r="N257" s="95"/>
      <c r="O257" s="95"/>
      <c r="P257" s="95"/>
      <c r="Q257" s="95"/>
      <c r="R257" s="95"/>
      <c r="S257" s="95"/>
      <c r="T257" s="95"/>
      <c r="U257" s="95"/>
      <c r="V257" s="95"/>
      <c r="W257" s="95"/>
      <c r="X257" s="95"/>
      <c r="Y257" s="95"/>
      <c r="Z257" s="95"/>
    </row>
    <row r="258" ht="15.75" customHeight="1" spans="1:26">
      <c r="A258" s="95">
        <f>dados_01!A258</f>
        <v>0</v>
      </c>
      <c r="B258" s="95">
        <f>dados_01!B258</f>
        <v>0</v>
      </c>
      <c r="C258" s="95" t="str">
        <f>IFERROR(__xludf.DUMMYFUNCTION("JOIN("". "", ARRAYFORMULA(IFERROR(LEFT(SPLIT(dados_01!C258, "" ""), 1))))"),"")</f>
        <v/>
      </c>
      <c r="D258" s="95">
        <f>dados_01!D258</f>
        <v>0</v>
      </c>
      <c r="E258" s="95" t="str">
        <f>CONCATENATE(LEFT(dados_01!E258,3),REPT("*",6),RIGHT(dados_01!E258,2))</f>
        <v>******</v>
      </c>
      <c r="F258" s="95">
        <f>dados_01!F258</f>
        <v>0</v>
      </c>
      <c r="G258" s="95">
        <f>dados_01!G258</f>
        <v>0</v>
      </c>
      <c r="H258" s="95">
        <f>dados_01!H258</f>
        <v>0</v>
      </c>
      <c r="I258" s="95">
        <f>dados_01!I258</f>
        <v>0</v>
      </c>
      <c r="J258" s="95"/>
      <c r="K258" s="95"/>
      <c r="L258" s="95"/>
      <c r="M258" s="95"/>
      <c r="N258" s="95"/>
      <c r="O258" s="95"/>
      <c r="P258" s="95"/>
      <c r="Q258" s="95"/>
      <c r="R258" s="95"/>
      <c r="S258" s="95"/>
      <c r="T258" s="95"/>
      <c r="U258" s="95"/>
      <c r="V258" s="95"/>
      <c r="W258" s="95"/>
      <c r="X258" s="95"/>
      <c r="Y258" s="95"/>
      <c r="Z258" s="95"/>
    </row>
    <row r="259" ht="15.75" customHeight="1" spans="1:26">
      <c r="A259" s="95">
        <f>dados_01!A259</f>
        <v>0</v>
      </c>
      <c r="B259" s="95">
        <f>dados_01!B259</f>
        <v>0</v>
      </c>
      <c r="C259" s="95" t="str">
        <f>IFERROR(__xludf.DUMMYFUNCTION("JOIN("". "", ARRAYFORMULA(IFERROR(LEFT(SPLIT(dados_01!C259, "" ""), 1))))"),"")</f>
        <v/>
      </c>
      <c r="D259" s="95">
        <f>dados_01!D259</f>
        <v>0</v>
      </c>
      <c r="E259" s="95" t="str">
        <f>CONCATENATE(LEFT(dados_01!E259,3),REPT("*",6),RIGHT(dados_01!E259,2))</f>
        <v>******</v>
      </c>
      <c r="F259" s="95">
        <f>dados_01!F259</f>
        <v>0</v>
      </c>
      <c r="G259" s="95">
        <f>dados_01!G259</f>
        <v>0</v>
      </c>
      <c r="H259" s="95">
        <f>dados_01!H259</f>
        <v>0</v>
      </c>
      <c r="I259" s="95">
        <f>dados_01!I259</f>
        <v>0</v>
      </c>
      <c r="J259" s="95"/>
      <c r="K259" s="95"/>
      <c r="L259" s="95"/>
      <c r="M259" s="95"/>
      <c r="N259" s="95"/>
      <c r="O259" s="95"/>
      <c r="P259" s="95"/>
      <c r="Q259" s="95"/>
      <c r="R259" s="95"/>
      <c r="S259" s="95"/>
      <c r="T259" s="95"/>
      <c r="U259" s="95"/>
      <c r="V259" s="95"/>
      <c r="W259" s="95"/>
      <c r="X259" s="95"/>
      <c r="Y259" s="95"/>
      <c r="Z259" s="95"/>
    </row>
    <row r="260" ht="15.75" customHeight="1" spans="1:26">
      <c r="A260" s="95">
        <f>dados_01!A260</f>
        <v>0</v>
      </c>
      <c r="B260" s="95">
        <f>dados_01!B260</f>
        <v>0</v>
      </c>
      <c r="C260" s="95" t="str">
        <f>IFERROR(__xludf.DUMMYFUNCTION("JOIN("". "", ARRAYFORMULA(IFERROR(LEFT(SPLIT(dados_01!C260, "" ""), 1))))"),"")</f>
        <v/>
      </c>
      <c r="D260" s="95">
        <f>dados_01!D260</f>
        <v>0</v>
      </c>
      <c r="E260" s="95" t="str">
        <f>CONCATENATE(LEFT(dados_01!E260,3),REPT("*",6),RIGHT(dados_01!E260,2))</f>
        <v>******</v>
      </c>
      <c r="F260" s="95">
        <f>dados_01!F260</f>
        <v>0</v>
      </c>
      <c r="G260" s="95">
        <f>dados_01!G260</f>
        <v>0</v>
      </c>
      <c r="H260" s="95">
        <f>dados_01!H260</f>
        <v>0</v>
      </c>
      <c r="I260" s="95">
        <f>dados_01!I260</f>
        <v>0</v>
      </c>
      <c r="J260" s="95"/>
      <c r="K260" s="95"/>
      <c r="L260" s="95"/>
      <c r="M260" s="95"/>
      <c r="N260" s="95"/>
      <c r="O260" s="95"/>
      <c r="P260" s="95"/>
      <c r="Q260" s="95"/>
      <c r="R260" s="95"/>
      <c r="S260" s="95"/>
      <c r="T260" s="95"/>
      <c r="U260" s="95"/>
      <c r="V260" s="95"/>
      <c r="W260" s="95"/>
      <c r="X260" s="95"/>
      <c r="Y260" s="95"/>
      <c r="Z260" s="95"/>
    </row>
    <row r="261" ht="15.75" customHeight="1" spans="1:26">
      <c r="A261" s="95">
        <f>dados_01!A261</f>
        <v>0</v>
      </c>
      <c r="B261" s="95">
        <f>dados_01!B261</f>
        <v>0</v>
      </c>
      <c r="C261" s="95" t="str">
        <f>IFERROR(__xludf.DUMMYFUNCTION("JOIN("". "", ARRAYFORMULA(IFERROR(LEFT(SPLIT(dados_01!C261, "" ""), 1))))"),"")</f>
        <v/>
      </c>
      <c r="D261" s="95">
        <f>dados_01!D261</f>
        <v>0</v>
      </c>
      <c r="E261" s="95" t="str">
        <f>CONCATENATE(LEFT(dados_01!E261,3),REPT("*",6),RIGHT(dados_01!E261,2))</f>
        <v>******</v>
      </c>
      <c r="F261" s="95">
        <f>dados_01!F261</f>
        <v>0</v>
      </c>
      <c r="G261" s="95">
        <f>dados_01!G261</f>
        <v>0</v>
      </c>
      <c r="H261" s="95">
        <f>dados_01!H261</f>
        <v>0</v>
      </c>
      <c r="I261" s="95">
        <f>dados_01!I261</f>
        <v>0</v>
      </c>
      <c r="J261" s="95"/>
      <c r="K261" s="95"/>
      <c r="L261" s="95"/>
      <c r="M261" s="95"/>
      <c r="N261" s="95"/>
      <c r="O261" s="95"/>
      <c r="P261" s="95"/>
      <c r="Q261" s="95"/>
      <c r="R261" s="95"/>
      <c r="S261" s="95"/>
      <c r="T261" s="95"/>
      <c r="U261" s="95"/>
      <c r="V261" s="95"/>
      <c r="W261" s="95"/>
      <c r="X261" s="95"/>
      <c r="Y261" s="95"/>
      <c r="Z261" s="95"/>
    </row>
    <row r="262" ht="15.75" customHeight="1" spans="1:26">
      <c r="A262" s="95">
        <f>dados_01!A262</f>
        <v>0</v>
      </c>
      <c r="B262" s="95">
        <f>dados_01!B262</f>
        <v>0</v>
      </c>
      <c r="C262" s="95" t="str">
        <f>IFERROR(__xludf.DUMMYFUNCTION("JOIN("". "", ARRAYFORMULA(IFERROR(LEFT(SPLIT(dados_01!C262, "" ""), 1))))"),"")</f>
        <v/>
      </c>
      <c r="D262" s="95">
        <f>dados_01!D262</f>
        <v>0</v>
      </c>
      <c r="E262" s="95" t="str">
        <f>CONCATENATE(LEFT(dados_01!E262,3),REPT("*",6),RIGHT(dados_01!E262,2))</f>
        <v>******</v>
      </c>
      <c r="F262" s="95">
        <f>dados_01!F262</f>
        <v>0</v>
      </c>
      <c r="G262" s="95">
        <f>dados_01!G262</f>
        <v>0</v>
      </c>
      <c r="H262" s="95">
        <f>dados_01!H262</f>
        <v>0</v>
      </c>
      <c r="I262" s="95">
        <f>dados_01!I262</f>
        <v>0</v>
      </c>
      <c r="J262" s="95"/>
      <c r="K262" s="95"/>
      <c r="L262" s="95"/>
      <c r="M262" s="95"/>
      <c r="N262" s="95"/>
      <c r="O262" s="95"/>
      <c r="P262" s="95"/>
      <c r="Q262" s="95"/>
      <c r="R262" s="95"/>
      <c r="S262" s="95"/>
      <c r="T262" s="95"/>
      <c r="U262" s="95"/>
      <c r="V262" s="95"/>
      <c r="W262" s="95"/>
      <c r="X262" s="95"/>
      <c r="Y262" s="95"/>
      <c r="Z262" s="95"/>
    </row>
    <row r="263" ht="15.75" customHeight="1" spans="1:26">
      <c r="A263" s="95">
        <f>dados_01!A263</f>
        <v>0</v>
      </c>
      <c r="B263" s="95">
        <f>dados_01!B263</f>
        <v>0</v>
      </c>
      <c r="C263" s="95" t="str">
        <f>IFERROR(__xludf.DUMMYFUNCTION("JOIN("". "", ARRAYFORMULA(IFERROR(LEFT(SPLIT(dados_01!C263, "" ""), 1))))"),"")</f>
        <v/>
      </c>
      <c r="D263" s="95">
        <f>dados_01!D263</f>
        <v>0</v>
      </c>
      <c r="E263" s="95" t="str">
        <f>CONCATENATE(LEFT(dados_01!E263,3),REPT("*",6),RIGHT(dados_01!E263,2))</f>
        <v>******</v>
      </c>
      <c r="F263" s="95">
        <f>dados_01!F263</f>
        <v>0</v>
      </c>
      <c r="G263" s="95">
        <f>dados_01!G263</f>
        <v>0</v>
      </c>
      <c r="H263" s="95">
        <f>dados_01!H263</f>
        <v>0</v>
      </c>
      <c r="I263" s="95">
        <f>dados_01!I263</f>
        <v>0</v>
      </c>
      <c r="J263" s="95"/>
      <c r="K263" s="95"/>
      <c r="L263" s="95"/>
      <c r="M263" s="95"/>
      <c r="N263" s="95"/>
      <c r="O263" s="95"/>
      <c r="P263" s="95"/>
      <c r="Q263" s="95"/>
      <c r="R263" s="95"/>
      <c r="S263" s="95"/>
      <c r="T263" s="95"/>
      <c r="U263" s="95"/>
      <c r="V263" s="95"/>
      <c r="W263" s="95"/>
      <c r="X263" s="95"/>
      <c r="Y263" s="95"/>
      <c r="Z263" s="95"/>
    </row>
    <row r="264" ht="15.75" customHeight="1" spans="1:26">
      <c r="A264" s="95">
        <f>dados_01!A264</f>
        <v>0</v>
      </c>
      <c r="B264" s="95">
        <f>dados_01!B264</f>
        <v>0</v>
      </c>
      <c r="C264" s="95" t="str">
        <f>IFERROR(__xludf.DUMMYFUNCTION("JOIN("". "", ARRAYFORMULA(IFERROR(LEFT(SPLIT(dados_01!C264, "" ""), 1))))"),"")</f>
        <v/>
      </c>
      <c r="D264" s="95">
        <f>dados_01!D264</f>
        <v>0</v>
      </c>
      <c r="E264" s="95" t="str">
        <f>CONCATENATE(LEFT(dados_01!E264,3),REPT("*",6),RIGHT(dados_01!E264,2))</f>
        <v>******</v>
      </c>
      <c r="F264" s="95">
        <f>dados_01!F264</f>
        <v>0</v>
      </c>
      <c r="G264" s="95">
        <f>dados_01!G264</f>
        <v>0</v>
      </c>
      <c r="H264" s="95">
        <f>dados_01!H264</f>
        <v>0</v>
      </c>
      <c r="I264" s="95">
        <f>dados_01!I264</f>
        <v>0</v>
      </c>
      <c r="J264" s="95"/>
      <c r="K264" s="95"/>
      <c r="L264" s="95"/>
      <c r="M264" s="95"/>
      <c r="N264" s="95"/>
      <c r="O264" s="95"/>
      <c r="P264" s="95"/>
      <c r="Q264" s="95"/>
      <c r="R264" s="95"/>
      <c r="S264" s="95"/>
      <c r="T264" s="95"/>
      <c r="U264" s="95"/>
      <c r="V264" s="95"/>
      <c r="W264" s="95"/>
      <c r="X264" s="95"/>
      <c r="Y264" s="95"/>
      <c r="Z264" s="95"/>
    </row>
    <row r="265" ht="15.75" customHeight="1" spans="1:26">
      <c r="A265" s="95">
        <f>dados_01!A265</f>
        <v>0</v>
      </c>
      <c r="B265" s="95">
        <f>dados_01!B265</f>
        <v>0</v>
      </c>
      <c r="C265" s="95" t="str">
        <f>IFERROR(__xludf.DUMMYFUNCTION("JOIN("". "", ARRAYFORMULA(IFERROR(LEFT(SPLIT(dados_01!C265, "" ""), 1))))"),"")</f>
        <v/>
      </c>
      <c r="D265" s="95">
        <f>dados_01!D265</f>
        <v>0</v>
      </c>
      <c r="E265" s="95" t="str">
        <f>CONCATENATE(LEFT(dados_01!E265,3),REPT("*",6),RIGHT(dados_01!E265,2))</f>
        <v>******</v>
      </c>
      <c r="F265" s="95">
        <f>dados_01!F265</f>
        <v>0</v>
      </c>
      <c r="G265" s="95">
        <f>dados_01!G265</f>
        <v>0</v>
      </c>
      <c r="H265" s="95">
        <f>dados_01!H265</f>
        <v>0</v>
      </c>
      <c r="I265" s="95">
        <f>dados_01!I265</f>
        <v>0</v>
      </c>
      <c r="J265" s="95"/>
      <c r="K265" s="95"/>
      <c r="L265" s="95"/>
      <c r="M265" s="95"/>
      <c r="N265" s="95"/>
      <c r="O265" s="95"/>
      <c r="P265" s="95"/>
      <c r="Q265" s="95"/>
      <c r="R265" s="95"/>
      <c r="S265" s="95"/>
      <c r="T265" s="95"/>
      <c r="U265" s="95"/>
      <c r="V265" s="95"/>
      <c r="W265" s="95"/>
      <c r="X265" s="95"/>
      <c r="Y265" s="95"/>
      <c r="Z265" s="95"/>
    </row>
    <row r="266" ht="15.75" customHeight="1" spans="1:26">
      <c r="A266" s="95">
        <f>dados_01!A266</f>
        <v>0</v>
      </c>
      <c r="B266" s="95">
        <f>dados_01!B266</f>
        <v>0</v>
      </c>
      <c r="C266" s="95" t="str">
        <f>IFERROR(__xludf.DUMMYFUNCTION("JOIN("". "", ARRAYFORMULA(IFERROR(LEFT(SPLIT(dados_01!C266, "" ""), 1))))"),"")</f>
        <v/>
      </c>
      <c r="D266" s="95">
        <f>dados_01!D266</f>
        <v>0</v>
      </c>
      <c r="E266" s="95" t="str">
        <f>CONCATENATE(LEFT(dados_01!E266,3),REPT("*",6),RIGHT(dados_01!E266,2))</f>
        <v>******</v>
      </c>
      <c r="F266" s="95">
        <f>dados_01!F266</f>
        <v>0</v>
      </c>
      <c r="G266" s="95">
        <f>dados_01!G266</f>
        <v>0</v>
      </c>
      <c r="H266" s="95">
        <f>dados_01!H266</f>
        <v>0</v>
      </c>
      <c r="I266" s="95">
        <f>dados_01!I266</f>
        <v>0</v>
      </c>
      <c r="J266" s="95"/>
      <c r="K266" s="95"/>
      <c r="L266" s="95"/>
      <c r="M266" s="95"/>
      <c r="N266" s="95"/>
      <c r="O266" s="95"/>
      <c r="P266" s="95"/>
      <c r="Q266" s="95"/>
      <c r="R266" s="95"/>
      <c r="S266" s="95"/>
      <c r="T266" s="95"/>
      <c r="U266" s="95"/>
      <c r="V266" s="95"/>
      <c r="W266" s="95"/>
      <c r="X266" s="95"/>
      <c r="Y266" s="95"/>
      <c r="Z266" s="95"/>
    </row>
    <row r="267" ht="15.75" customHeight="1" spans="1:26">
      <c r="A267" s="95">
        <f>dados_01!A267</f>
        <v>0</v>
      </c>
      <c r="B267" s="95">
        <f>dados_01!B267</f>
        <v>0</v>
      </c>
      <c r="C267" s="95" t="str">
        <f>IFERROR(__xludf.DUMMYFUNCTION("JOIN("". "", ARRAYFORMULA(IFERROR(LEFT(SPLIT(dados_01!C267, "" ""), 1))))"),"")</f>
        <v/>
      </c>
      <c r="D267" s="95">
        <f>dados_01!D267</f>
        <v>0</v>
      </c>
      <c r="E267" s="95" t="str">
        <f>CONCATENATE(LEFT(dados_01!E267,3),REPT("*",6),RIGHT(dados_01!E267,2))</f>
        <v>******</v>
      </c>
      <c r="F267" s="95">
        <f>dados_01!F267</f>
        <v>0</v>
      </c>
      <c r="G267" s="95">
        <f>dados_01!G267</f>
        <v>0</v>
      </c>
      <c r="H267" s="95">
        <f>dados_01!H267</f>
        <v>0</v>
      </c>
      <c r="I267" s="95">
        <f>dados_01!I267</f>
        <v>0</v>
      </c>
      <c r="J267" s="95"/>
      <c r="K267" s="95"/>
      <c r="L267" s="95"/>
      <c r="M267" s="95"/>
      <c r="N267" s="95"/>
      <c r="O267" s="95"/>
      <c r="P267" s="95"/>
      <c r="Q267" s="95"/>
      <c r="R267" s="95"/>
      <c r="S267" s="95"/>
      <c r="T267" s="95"/>
      <c r="U267" s="95"/>
      <c r="V267" s="95"/>
      <c r="W267" s="95"/>
      <c r="X267" s="95"/>
      <c r="Y267" s="95"/>
      <c r="Z267" s="95"/>
    </row>
    <row r="268" ht="15.75" customHeight="1" spans="1:26">
      <c r="A268" s="95">
        <f>dados_01!A268</f>
        <v>0</v>
      </c>
      <c r="B268" s="95">
        <f>dados_01!B268</f>
        <v>0</v>
      </c>
      <c r="C268" s="95" t="str">
        <f>IFERROR(__xludf.DUMMYFUNCTION("JOIN("". "", ARRAYFORMULA(IFERROR(LEFT(SPLIT(dados_01!C268, "" ""), 1))))"),"")</f>
        <v/>
      </c>
      <c r="D268" s="95">
        <f>dados_01!D268</f>
        <v>0</v>
      </c>
      <c r="E268" s="95" t="str">
        <f>CONCATENATE(LEFT(dados_01!E268,3),REPT("*",6),RIGHT(dados_01!E268,2))</f>
        <v>******</v>
      </c>
      <c r="F268" s="95">
        <f>dados_01!F268</f>
        <v>0</v>
      </c>
      <c r="G268" s="95">
        <f>dados_01!G268</f>
        <v>0</v>
      </c>
      <c r="H268" s="95">
        <f>dados_01!H268</f>
        <v>0</v>
      </c>
      <c r="I268" s="95">
        <f>dados_01!I268</f>
        <v>0</v>
      </c>
      <c r="J268" s="95"/>
      <c r="K268" s="95"/>
      <c r="L268" s="95"/>
      <c r="M268" s="95"/>
      <c r="N268" s="95"/>
      <c r="O268" s="95"/>
      <c r="P268" s="95"/>
      <c r="Q268" s="95"/>
      <c r="R268" s="95"/>
      <c r="S268" s="95"/>
      <c r="T268" s="95"/>
      <c r="U268" s="95"/>
      <c r="V268" s="95"/>
      <c r="W268" s="95"/>
      <c r="X268" s="95"/>
      <c r="Y268" s="95"/>
      <c r="Z268" s="95"/>
    </row>
    <row r="269" ht="15.75" customHeight="1" spans="1:26">
      <c r="A269" s="95">
        <f>dados_01!A269</f>
        <v>0</v>
      </c>
      <c r="B269" s="95">
        <f>dados_01!B269</f>
        <v>0</v>
      </c>
      <c r="C269" s="95" t="str">
        <f>IFERROR(__xludf.DUMMYFUNCTION("JOIN("". "", ARRAYFORMULA(IFERROR(LEFT(SPLIT(dados_01!C269, "" ""), 1))))"),"")</f>
        <v/>
      </c>
      <c r="D269" s="95">
        <f>dados_01!D269</f>
        <v>0</v>
      </c>
      <c r="E269" s="95" t="str">
        <f>CONCATENATE(LEFT(dados_01!E269,3),REPT("*",6),RIGHT(dados_01!E269,2))</f>
        <v>******</v>
      </c>
      <c r="F269" s="95">
        <f>dados_01!F269</f>
        <v>0</v>
      </c>
      <c r="G269" s="95">
        <f>dados_01!G269</f>
        <v>0</v>
      </c>
      <c r="H269" s="95">
        <f>dados_01!H269</f>
        <v>0</v>
      </c>
      <c r="I269" s="95">
        <f>dados_01!I269</f>
        <v>0</v>
      </c>
      <c r="J269" s="95"/>
      <c r="K269" s="95"/>
      <c r="L269" s="95"/>
      <c r="M269" s="95"/>
      <c r="N269" s="95"/>
      <c r="O269" s="95"/>
      <c r="P269" s="95"/>
      <c r="Q269" s="95"/>
      <c r="R269" s="95"/>
      <c r="S269" s="95"/>
      <c r="T269" s="95"/>
      <c r="U269" s="95"/>
      <c r="V269" s="95"/>
      <c r="W269" s="95"/>
      <c r="X269" s="95"/>
      <c r="Y269" s="95"/>
      <c r="Z269" s="95"/>
    </row>
    <row r="270" ht="15.75" customHeight="1" spans="1:26">
      <c r="A270" s="95">
        <f>dados_01!A270</f>
        <v>0</v>
      </c>
      <c r="B270" s="95">
        <f>dados_01!B270</f>
        <v>0</v>
      </c>
      <c r="C270" s="95" t="str">
        <f>IFERROR(__xludf.DUMMYFUNCTION("JOIN("". "", ARRAYFORMULA(IFERROR(LEFT(SPLIT(dados_01!C270, "" ""), 1))))"),"")</f>
        <v/>
      </c>
      <c r="D270" s="95">
        <f>dados_01!D270</f>
        <v>0</v>
      </c>
      <c r="E270" s="95" t="str">
        <f>CONCATENATE(LEFT(dados_01!E270,3),REPT("*",6),RIGHT(dados_01!E270,2))</f>
        <v>******</v>
      </c>
      <c r="F270" s="95">
        <f>dados_01!F270</f>
        <v>0</v>
      </c>
      <c r="G270" s="95">
        <f>dados_01!G270</f>
        <v>0</v>
      </c>
      <c r="H270" s="95">
        <f>dados_01!H270</f>
        <v>0</v>
      </c>
      <c r="I270" s="95">
        <f>dados_01!I270</f>
        <v>0</v>
      </c>
      <c r="J270" s="95"/>
      <c r="K270" s="95"/>
      <c r="L270" s="95"/>
      <c r="M270" s="95"/>
      <c r="N270" s="95"/>
      <c r="O270" s="95"/>
      <c r="P270" s="95"/>
      <c r="Q270" s="95"/>
      <c r="R270" s="95"/>
      <c r="S270" s="95"/>
      <c r="T270" s="95"/>
      <c r="U270" s="95"/>
      <c r="V270" s="95"/>
      <c r="W270" s="95"/>
      <c r="X270" s="95"/>
      <c r="Y270" s="95"/>
      <c r="Z270" s="95"/>
    </row>
    <row r="271" ht="15.75" customHeight="1" spans="1:26">
      <c r="A271" s="95">
        <f>dados_01!A271</f>
        <v>0</v>
      </c>
      <c r="B271" s="95">
        <f>dados_01!B271</f>
        <v>0</v>
      </c>
      <c r="C271" s="95" t="str">
        <f>IFERROR(__xludf.DUMMYFUNCTION("JOIN("". "", ARRAYFORMULA(IFERROR(LEFT(SPLIT(dados_01!C271, "" ""), 1))))"),"")</f>
        <v/>
      </c>
      <c r="D271" s="95">
        <f>dados_01!D271</f>
        <v>0</v>
      </c>
      <c r="E271" s="95" t="str">
        <f>CONCATENATE(LEFT(dados_01!E271,3),REPT("*",6),RIGHT(dados_01!E271,2))</f>
        <v>******</v>
      </c>
      <c r="F271" s="95">
        <f>dados_01!F271</f>
        <v>0</v>
      </c>
      <c r="G271" s="95">
        <f>dados_01!G271</f>
        <v>0</v>
      </c>
      <c r="H271" s="95">
        <f>dados_01!H271</f>
        <v>0</v>
      </c>
      <c r="I271" s="95">
        <f>dados_01!I271</f>
        <v>0</v>
      </c>
      <c r="J271" s="95"/>
      <c r="K271" s="95"/>
      <c r="L271" s="95"/>
      <c r="M271" s="95"/>
      <c r="N271" s="95"/>
      <c r="O271" s="95"/>
      <c r="P271" s="95"/>
      <c r="Q271" s="95"/>
      <c r="R271" s="95"/>
      <c r="S271" s="95"/>
      <c r="T271" s="95"/>
      <c r="U271" s="95"/>
      <c r="V271" s="95"/>
      <c r="W271" s="95"/>
      <c r="X271" s="95"/>
      <c r="Y271" s="95"/>
      <c r="Z271" s="95"/>
    </row>
    <row r="272" ht="15.75" customHeight="1" spans="1:26">
      <c r="A272" s="95">
        <f>dados_01!A272</f>
        <v>0</v>
      </c>
      <c r="B272" s="95">
        <f>dados_01!B272</f>
        <v>0</v>
      </c>
      <c r="C272" s="95" t="str">
        <f>IFERROR(__xludf.DUMMYFUNCTION("JOIN("". "", ARRAYFORMULA(IFERROR(LEFT(SPLIT(dados_01!C272, "" ""), 1))))"),"")</f>
        <v/>
      </c>
      <c r="D272" s="95">
        <f>dados_01!D272</f>
        <v>0</v>
      </c>
      <c r="E272" s="95" t="str">
        <f>CONCATENATE(LEFT(dados_01!E272,3),REPT("*",6),RIGHT(dados_01!E272,2))</f>
        <v>******</v>
      </c>
      <c r="F272" s="95">
        <f>dados_01!F272</f>
        <v>0</v>
      </c>
      <c r="G272" s="95">
        <f>dados_01!G272</f>
        <v>0</v>
      </c>
      <c r="H272" s="95">
        <f>dados_01!H272</f>
        <v>0</v>
      </c>
      <c r="I272" s="95">
        <f>dados_01!I272</f>
        <v>0</v>
      </c>
      <c r="J272" s="95"/>
      <c r="K272" s="95"/>
      <c r="L272" s="95"/>
      <c r="M272" s="95"/>
      <c r="N272" s="95"/>
      <c r="O272" s="95"/>
      <c r="P272" s="95"/>
      <c r="Q272" s="95"/>
      <c r="R272" s="95"/>
      <c r="S272" s="95"/>
      <c r="T272" s="95"/>
      <c r="U272" s="95"/>
      <c r="V272" s="95"/>
      <c r="W272" s="95"/>
      <c r="X272" s="95"/>
      <c r="Y272" s="95"/>
      <c r="Z272" s="95"/>
    </row>
    <row r="273" ht="15.75" customHeight="1" spans="1:26">
      <c r="A273" s="95">
        <f>dados_01!A273</f>
        <v>0</v>
      </c>
      <c r="B273" s="95">
        <f>dados_01!B273</f>
        <v>0</v>
      </c>
      <c r="C273" s="95" t="str">
        <f>IFERROR(__xludf.DUMMYFUNCTION("JOIN("". "", ARRAYFORMULA(IFERROR(LEFT(SPLIT(dados_01!C273, "" ""), 1))))"),"")</f>
        <v/>
      </c>
      <c r="D273" s="95">
        <f>dados_01!D273</f>
        <v>0</v>
      </c>
      <c r="E273" s="95" t="str">
        <f>CONCATENATE(LEFT(dados_01!E273,3),REPT("*",6),RIGHT(dados_01!E273,2))</f>
        <v>******</v>
      </c>
      <c r="F273" s="95">
        <f>dados_01!F273</f>
        <v>0</v>
      </c>
      <c r="G273" s="95">
        <f>dados_01!G273</f>
        <v>0</v>
      </c>
      <c r="H273" s="95">
        <f>dados_01!H273</f>
        <v>0</v>
      </c>
      <c r="I273" s="95">
        <f>dados_01!I273</f>
        <v>0</v>
      </c>
      <c r="J273" s="95"/>
      <c r="K273" s="95"/>
      <c r="L273" s="95"/>
      <c r="M273" s="95"/>
      <c r="N273" s="95"/>
      <c r="O273" s="95"/>
      <c r="P273" s="95"/>
      <c r="Q273" s="95"/>
      <c r="R273" s="95"/>
      <c r="S273" s="95"/>
      <c r="T273" s="95"/>
      <c r="U273" s="95"/>
      <c r="V273" s="95"/>
      <c r="W273" s="95"/>
      <c r="X273" s="95"/>
      <c r="Y273" s="95"/>
      <c r="Z273" s="95"/>
    </row>
    <row r="274" ht="15.75" customHeight="1" spans="1:26">
      <c r="A274" s="95">
        <f>dados_01!A274</f>
        <v>0</v>
      </c>
      <c r="B274" s="95">
        <f>dados_01!B274</f>
        <v>0</v>
      </c>
      <c r="C274" s="95" t="str">
        <f>IFERROR(__xludf.DUMMYFUNCTION("JOIN("". "", ARRAYFORMULA(IFERROR(LEFT(SPLIT(dados_01!C274, "" ""), 1))))"),"")</f>
        <v/>
      </c>
      <c r="D274" s="95">
        <f>dados_01!D274</f>
        <v>0</v>
      </c>
      <c r="E274" s="95" t="str">
        <f>CONCATENATE(LEFT(dados_01!E274,3),REPT("*",6),RIGHT(dados_01!E274,2))</f>
        <v>******</v>
      </c>
      <c r="F274" s="95">
        <f>dados_01!F274</f>
        <v>0</v>
      </c>
      <c r="G274" s="95">
        <f>dados_01!G274</f>
        <v>0</v>
      </c>
      <c r="H274" s="95">
        <f>dados_01!H274</f>
        <v>0</v>
      </c>
      <c r="I274" s="95">
        <f>dados_01!I274</f>
        <v>0</v>
      </c>
      <c r="J274" s="95"/>
      <c r="K274" s="95"/>
      <c r="L274" s="95"/>
      <c r="M274" s="95"/>
      <c r="N274" s="95"/>
      <c r="O274" s="95"/>
      <c r="P274" s="95"/>
      <c r="Q274" s="95"/>
      <c r="R274" s="95"/>
      <c r="S274" s="95"/>
      <c r="T274" s="95"/>
      <c r="U274" s="95"/>
      <c r="V274" s="95"/>
      <c r="W274" s="95"/>
      <c r="X274" s="95"/>
      <c r="Y274" s="95"/>
      <c r="Z274" s="95"/>
    </row>
    <row r="275" ht="15.75" customHeight="1" spans="1:26">
      <c r="A275" s="95">
        <f>dados_01!A275</f>
        <v>0</v>
      </c>
      <c r="B275" s="95">
        <f>dados_01!B275</f>
        <v>0</v>
      </c>
      <c r="C275" s="95" t="str">
        <f>IFERROR(__xludf.DUMMYFUNCTION("JOIN("". "", ARRAYFORMULA(IFERROR(LEFT(SPLIT(dados_01!C275, "" ""), 1))))"),"")</f>
        <v/>
      </c>
      <c r="D275" s="95">
        <f>dados_01!D275</f>
        <v>0</v>
      </c>
      <c r="E275" s="95" t="str">
        <f>CONCATENATE(LEFT(dados_01!E275,3),REPT("*",6),RIGHT(dados_01!E275,2))</f>
        <v>******</v>
      </c>
      <c r="F275" s="95">
        <f>dados_01!F275</f>
        <v>0</v>
      </c>
      <c r="G275" s="95">
        <f>dados_01!G275</f>
        <v>0</v>
      </c>
      <c r="H275" s="95">
        <f>dados_01!H275</f>
        <v>0</v>
      </c>
      <c r="I275" s="95">
        <f>dados_01!I275</f>
        <v>0</v>
      </c>
      <c r="J275" s="95"/>
      <c r="K275" s="95"/>
      <c r="L275" s="95"/>
      <c r="M275" s="95"/>
      <c r="N275" s="95"/>
      <c r="O275" s="95"/>
      <c r="P275" s="95"/>
      <c r="Q275" s="95"/>
      <c r="R275" s="95"/>
      <c r="S275" s="95"/>
      <c r="T275" s="95"/>
      <c r="U275" s="95"/>
      <c r="V275" s="95"/>
      <c r="W275" s="95"/>
      <c r="X275" s="95"/>
      <c r="Y275" s="95"/>
      <c r="Z275" s="95"/>
    </row>
    <row r="276" ht="15.75" customHeight="1" spans="1:26">
      <c r="A276" s="95">
        <f>dados_01!A276</f>
        <v>0</v>
      </c>
      <c r="B276" s="95">
        <f>dados_01!B276</f>
        <v>0</v>
      </c>
      <c r="C276" s="95" t="str">
        <f>IFERROR(__xludf.DUMMYFUNCTION("JOIN("". "", ARRAYFORMULA(IFERROR(LEFT(SPLIT(dados_01!C276, "" ""), 1))))"),"")</f>
        <v/>
      </c>
      <c r="D276" s="95">
        <f>dados_01!D276</f>
        <v>0</v>
      </c>
      <c r="E276" s="95" t="str">
        <f>CONCATENATE(LEFT(dados_01!E276,3),REPT("*",6),RIGHT(dados_01!E276,2))</f>
        <v>******</v>
      </c>
      <c r="F276" s="95">
        <f>dados_01!F276</f>
        <v>0</v>
      </c>
      <c r="G276" s="95">
        <f>dados_01!G276</f>
        <v>0</v>
      </c>
      <c r="H276" s="95">
        <f>dados_01!H276</f>
        <v>0</v>
      </c>
      <c r="I276" s="95">
        <f>dados_01!I276</f>
        <v>0</v>
      </c>
      <c r="J276" s="95"/>
      <c r="K276" s="95"/>
      <c r="L276" s="95"/>
      <c r="M276" s="95"/>
      <c r="N276" s="95"/>
      <c r="O276" s="95"/>
      <c r="P276" s="95"/>
      <c r="Q276" s="95"/>
      <c r="R276" s="95"/>
      <c r="S276" s="95"/>
      <c r="T276" s="95"/>
      <c r="U276" s="95"/>
      <c r="V276" s="95"/>
      <c r="W276" s="95"/>
      <c r="X276" s="95"/>
      <c r="Y276" s="95"/>
      <c r="Z276" s="95"/>
    </row>
    <row r="277" ht="15.75" customHeight="1" spans="1:26">
      <c r="A277" s="95">
        <f>dados_01!A277</f>
        <v>0</v>
      </c>
      <c r="B277" s="95">
        <f>dados_01!B277</f>
        <v>0</v>
      </c>
      <c r="C277" s="95" t="str">
        <f>IFERROR(__xludf.DUMMYFUNCTION("JOIN("". "", ARRAYFORMULA(IFERROR(LEFT(SPLIT(dados_01!C277, "" ""), 1))))"),"")</f>
        <v/>
      </c>
      <c r="D277" s="95">
        <f>dados_01!D277</f>
        <v>0</v>
      </c>
      <c r="E277" s="95" t="str">
        <f>CONCATENATE(LEFT(dados_01!E277,3),REPT("*",6),RIGHT(dados_01!E277,2))</f>
        <v>******</v>
      </c>
      <c r="F277" s="95">
        <f>dados_01!F277</f>
        <v>0</v>
      </c>
      <c r="G277" s="95">
        <f>dados_01!G277</f>
        <v>0</v>
      </c>
      <c r="H277" s="95">
        <f>dados_01!H277</f>
        <v>0</v>
      </c>
      <c r="I277" s="95">
        <f>dados_01!I277</f>
        <v>0</v>
      </c>
      <c r="J277" s="95"/>
      <c r="K277" s="95"/>
      <c r="L277" s="95"/>
      <c r="M277" s="95"/>
      <c r="N277" s="95"/>
      <c r="O277" s="95"/>
      <c r="P277" s="95"/>
      <c r="Q277" s="95"/>
      <c r="R277" s="95"/>
      <c r="S277" s="95"/>
      <c r="T277" s="95"/>
      <c r="U277" s="95"/>
      <c r="V277" s="95"/>
      <c r="W277" s="95"/>
      <c r="X277" s="95"/>
      <c r="Y277" s="95"/>
      <c r="Z277" s="95"/>
    </row>
    <row r="278" ht="15.75" customHeight="1" spans="1:26">
      <c r="A278" s="95">
        <f>dados_01!A278</f>
        <v>0</v>
      </c>
      <c r="B278" s="95">
        <f>dados_01!B278</f>
        <v>0</v>
      </c>
      <c r="C278" s="95" t="str">
        <f>IFERROR(__xludf.DUMMYFUNCTION("JOIN("". "", ARRAYFORMULA(IFERROR(LEFT(SPLIT(dados_01!C278, "" ""), 1))))"),"")</f>
        <v/>
      </c>
      <c r="D278" s="95">
        <f>dados_01!D278</f>
        <v>0</v>
      </c>
      <c r="E278" s="95" t="str">
        <f>CONCATENATE(LEFT(dados_01!E278,3),REPT("*",6),RIGHT(dados_01!E278,2))</f>
        <v>******</v>
      </c>
      <c r="F278" s="95">
        <f>dados_01!F278</f>
        <v>0</v>
      </c>
      <c r="G278" s="95">
        <f>dados_01!G278</f>
        <v>0</v>
      </c>
      <c r="H278" s="95">
        <f>dados_01!H278</f>
        <v>0</v>
      </c>
      <c r="I278" s="95">
        <f>dados_01!I278</f>
        <v>0</v>
      </c>
      <c r="J278" s="95"/>
      <c r="K278" s="95"/>
      <c r="L278" s="95"/>
      <c r="M278" s="95"/>
      <c r="N278" s="95"/>
      <c r="O278" s="95"/>
      <c r="P278" s="95"/>
      <c r="Q278" s="95"/>
      <c r="R278" s="95"/>
      <c r="S278" s="95"/>
      <c r="T278" s="95"/>
      <c r="U278" s="95"/>
      <c r="V278" s="95"/>
      <c r="W278" s="95"/>
      <c r="X278" s="95"/>
      <c r="Y278" s="95"/>
      <c r="Z278" s="95"/>
    </row>
    <row r="279" ht="15.75" customHeight="1" spans="1:26">
      <c r="A279" s="95">
        <f>dados_01!A279</f>
        <v>0</v>
      </c>
      <c r="B279" s="95">
        <f>dados_01!B279</f>
        <v>0</v>
      </c>
      <c r="C279" s="95" t="str">
        <f>IFERROR(__xludf.DUMMYFUNCTION("JOIN("". "", ARRAYFORMULA(IFERROR(LEFT(SPLIT(dados_01!C279, "" ""), 1))))"),"")</f>
        <v/>
      </c>
      <c r="D279" s="95">
        <f>dados_01!D279</f>
        <v>0</v>
      </c>
      <c r="E279" s="95" t="str">
        <f>CONCATENATE(LEFT(dados_01!E279,3),REPT("*",6),RIGHT(dados_01!E279,2))</f>
        <v>******</v>
      </c>
      <c r="F279" s="95">
        <f>dados_01!F279</f>
        <v>0</v>
      </c>
      <c r="G279" s="95">
        <f>dados_01!G279</f>
        <v>0</v>
      </c>
      <c r="H279" s="95">
        <f>dados_01!H279</f>
        <v>0</v>
      </c>
      <c r="I279" s="95">
        <f>dados_01!I279</f>
        <v>0</v>
      </c>
      <c r="J279" s="95"/>
      <c r="K279" s="95"/>
      <c r="L279" s="95"/>
      <c r="M279" s="95"/>
      <c r="N279" s="95"/>
      <c r="O279" s="95"/>
      <c r="P279" s="95"/>
      <c r="Q279" s="95"/>
      <c r="R279" s="95"/>
      <c r="S279" s="95"/>
      <c r="T279" s="95"/>
      <c r="U279" s="95"/>
      <c r="V279" s="95"/>
      <c r="W279" s="95"/>
      <c r="X279" s="95"/>
      <c r="Y279" s="95"/>
      <c r="Z279" s="95"/>
    </row>
    <row r="280" ht="15.75" customHeight="1" spans="1:26">
      <c r="A280" s="95">
        <f>dados_01!A280</f>
        <v>0</v>
      </c>
      <c r="B280" s="95">
        <f>dados_01!B280</f>
        <v>0</v>
      </c>
      <c r="C280" s="95" t="str">
        <f>IFERROR(__xludf.DUMMYFUNCTION("JOIN("". "", ARRAYFORMULA(IFERROR(LEFT(SPLIT(dados_01!C280, "" ""), 1))))"),"")</f>
        <v/>
      </c>
      <c r="D280" s="95">
        <f>dados_01!D280</f>
        <v>0</v>
      </c>
      <c r="E280" s="95" t="str">
        <f>CONCATENATE(LEFT(dados_01!E280,3),REPT("*",6),RIGHT(dados_01!E280,2))</f>
        <v>******</v>
      </c>
      <c r="F280" s="95">
        <f>dados_01!F280</f>
        <v>0</v>
      </c>
      <c r="G280" s="95">
        <f>dados_01!G280</f>
        <v>0</v>
      </c>
      <c r="H280" s="95">
        <f>dados_01!H280</f>
        <v>0</v>
      </c>
      <c r="I280" s="95">
        <f>dados_01!I280</f>
        <v>0</v>
      </c>
      <c r="J280" s="95"/>
      <c r="K280" s="95"/>
      <c r="L280" s="95"/>
      <c r="M280" s="95"/>
      <c r="N280" s="95"/>
      <c r="O280" s="95"/>
      <c r="P280" s="95"/>
      <c r="Q280" s="95"/>
      <c r="R280" s="95"/>
      <c r="S280" s="95"/>
      <c r="T280" s="95"/>
      <c r="U280" s="95"/>
      <c r="V280" s="95"/>
      <c r="W280" s="95"/>
      <c r="X280" s="95"/>
      <c r="Y280" s="95"/>
      <c r="Z280" s="95"/>
    </row>
    <row r="281" ht="15.75" customHeight="1" spans="1:26">
      <c r="A281" s="95">
        <f>dados_01!A281</f>
        <v>0</v>
      </c>
      <c r="B281" s="95">
        <f>dados_01!B281</f>
        <v>0</v>
      </c>
      <c r="C281" s="95" t="str">
        <f>IFERROR(__xludf.DUMMYFUNCTION("JOIN("". "", ARRAYFORMULA(IFERROR(LEFT(SPLIT(dados_01!C281, "" ""), 1))))"),"")</f>
        <v/>
      </c>
      <c r="D281" s="95">
        <f>dados_01!D281</f>
        <v>0</v>
      </c>
      <c r="E281" s="95" t="str">
        <f>CONCATENATE(LEFT(dados_01!E281,3),REPT("*",6),RIGHT(dados_01!E281,2))</f>
        <v>******</v>
      </c>
      <c r="F281" s="95">
        <f>dados_01!F281</f>
        <v>0</v>
      </c>
      <c r="G281" s="95">
        <f>dados_01!G281</f>
        <v>0</v>
      </c>
      <c r="H281" s="95">
        <f>dados_01!H281</f>
        <v>0</v>
      </c>
      <c r="I281" s="95">
        <f>dados_01!I281</f>
        <v>0</v>
      </c>
      <c r="J281" s="95"/>
      <c r="K281" s="95"/>
      <c r="L281" s="95"/>
      <c r="M281" s="95"/>
      <c r="N281" s="95"/>
      <c r="O281" s="95"/>
      <c r="P281" s="95"/>
      <c r="Q281" s="95"/>
      <c r="R281" s="95"/>
      <c r="S281" s="95"/>
      <c r="T281" s="95"/>
      <c r="U281" s="95"/>
      <c r="V281" s="95"/>
      <c r="W281" s="95"/>
      <c r="X281" s="95"/>
      <c r="Y281" s="95"/>
      <c r="Z281" s="95"/>
    </row>
    <row r="282" ht="15.75" customHeight="1" spans="1:26">
      <c r="A282" s="95">
        <f>dados_01!A282</f>
        <v>0</v>
      </c>
      <c r="B282" s="95">
        <f>dados_01!B282</f>
        <v>0</v>
      </c>
      <c r="C282" s="95" t="str">
        <f>IFERROR(__xludf.DUMMYFUNCTION("JOIN("". "", ARRAYFORMULA(IFERROR(LEFT(SPLIT(dados_01!C282, "" ""), 1))))"),"")</f>
        <v/>
      </c>
      <c r="D282" s="95">
        <f>dados_01!D282</f>
        <v>0</v>
      </c>
      <c r="E282" s="95" t="str">
        <f>CONCATENATE(LEFT(dados_01!E282,3),REPT("*",6),RIGHT(dados_01!E282,2))</f>
        <v>******</v>
      </c>
      <c r="F282" s="95">
        <f>dados_01!F282</f>
        <v>0</v>
      </c>
      <c r="G282" s="95">
        <f>dados_01!G282</f>
        <v>0</v>
      </c>
      <c r="H282" s="95">
        <f>dados_01!H282</f>
        <v>0</v>
      </c>
      <c r="I282" s="95">
        <f>dados_01!I282</f>
        <v>0</v>
      </c>
      <c r="J282" s="95"/>
      <c r="K282" s="95"/>
      <c r="L282" s="95"/>
      <c r="M282" s="95"/>
      <c r="N282" s="95"/>
      <c r="O282" s="95"/>
      <c r="P282" s="95"/>
      <c r="Q282" s="95"/>
      <c r="R282" s="95"/>
      <c r="S282" s="95"/>
      <c r="T282" s="95"/>
      <c r="U282" s="95"/>
      <c r="V282" s="95"/>
      <c r="W282" s="95"/>
      <c r="X282" s="95"/>
      <c r="Y282" s="95"/>
      <c r="Z282" s="95"/>
    </row>
    <row r="283" ht="15.75" customHeight="1" spans="1:26">
      <c r="A283" s="95">
        <f>dados_01!A283</f>
        <v>0</v>
      </c>
      <c r="B283" s="95">
        <f>dados_01!B283</f>
        <v>0</v>
      </c>
      <c r="C283" s="95" t="str">
        <f>IFERROR(__xludf.DUMMYFUNCTION("JOIN("". "", ARRAYFORMULA(IFERROR(LEFT(SPLIT(dados_01!C283, "" ""), 1))))"),"")</f>
        <v/>
      </c>
      <c r="D283" s="95">
        <f>dados_01!D283</f>
        <v>0</v>
      </c>
      <c r="E283" s="95" t="str">
        <f>CONCATENATE(LEFT(dados_01!E283,3),REPT("*",6),RIGHT(dados_01!E283,2))</f>
        <v>******</v>
      </c>
      <c r="F283" s="95">
        <f>dados_01!F283</f>
        <v>0</v>
      </c>
      <c r="G283" s="95">
        <f>dados_01!G283</f>
        <v>0</v>
      </c>
      <c r="H283" s="95">
        <f>dados_01!H283</f>
        <v>0</v>
      </c>
      <c r="I283" s="95">
        <f>dados_01!I283</f>
        <v>0</v>
      </c>
      <c r="J283" s="95"/>
      <c r="K283" s="95"/>
      <c r="L283" s="95"/>
      <c r="M283" s="95"/>
      <c r="N283" s="95"/>
      <c r="O283" s="95"/>
      <c r="P283" s="95"/>
      <c r="Q283" s="95"/>
      <c r="R283" s="95"/>
      <c r="S283" s="95"/>
      <c r="T283" s="95"/>
      <c r="U283" s="95"/>
      <c r="V283" s="95"/>
      <c r="W283" s="95"/>
      <c r="X283" s="95"/>
      <c r="Y283" s="95"/>
      <c r="Z283" s="95"/>
    </row>
    <row r="284" ht="15.75" customHeight="1" spans="1:26">
      <c r="A284" s="95">
        <f>dados_01!A284</f>
        <v>0</v>
      </c>
      <c r="B284" s="95">
        <f>dados_01!B284</f>
        <v>0</v>
      </c>
      <c r="C284" s="95" t="str">
        <f>IFERROR(__xludf.DUMMYFUNCTION("JOIN("". "", ARRAYFORMULA(IFERROR(LEFT(SPLIT(dados_01!C284, "" ""), 1))))"),"")</f>
        <v/>
      </c>
      <c r="D284" s="95">
        <f>dados_01!D284</f>
        <v>0</v>
      </c>
      <c r="E284" s="95" t="str">
        <f>CONCATENATE(LEFT(dados_01!E284,3),REPT("*",6),RIGHT(dados_01!E284,2))</f>
        <v>******</v>
      </c>
      <c r="F284" s="95">
        <f>dados_01!F284</f>
        <v>0</v>
      </c>
      <c r="G284" s="95">
        <f>dados_01!G284</f>
        <v>0</v>
      </c>
      <c r="H284" s="95">
        <f>dados_01!H284</f>
        <v>0</v>
      </c>
      <c r="I284" s="95">
        <f>dados_01!I284</f>
        <v>0</v>
      </c>
      <c r="J284" s="95"/>
      <c r="K284" s="95"/>
      <c r="L284" s="95"/>
      <c r="M284" s="95"/>
      <c r="N284" s="95"/>
      <c r="O284" s="95"/>
      <c r="P284" s="95"/>
      <c r="Q284" s="95"/>
      <c r="R284" s="95"/>
      <c r="S284" s="95"/>
      <c r="T284" s="95"/>
      <c r="U284" s="95"/>
      <c r="V284" s="95"/>
      <c r="W284" s="95"/>
      <c r="X284" s="95"/>
      <c r="Y284" s="95"/>
      <c r="Z284" s="95"/>
    </row>
    <row r="285" ht="15.75" customHeight="1" spans="1:26">
      <c r="A285" s="95">
        <f>dados_01!A285</f>
        <v>0</v>
      </c>
      <c r="B285" s="95">
        <f>dados_01!B285</f>
        <v>0</v>
      </c>
      <c r="C285" s="95" t="str">
        <f>IFERROR(__xludf.DUMMYFUNCTION("JOIN("". "", ARRAYFORMULA(IFERROR(LEFT(SPLIT(dados_01!C285, "" ""), 1))))"),"")</f>
        <v/>
      </c>
      <c r="D285" s="95">
        <f>dados_01!D285</f>
        <v>0</v>
      </c>
      <c r="E285" s="95" t="str">
        <f>CONCATENATE(LEFT(dados_01!E285,3),REPT("*",6),RIGHT(dados_01!E285,2))</f>
        <v>******</v>
      </c>
      <c r="F285" s="95">
        <f>dados_01!F285</f>
        <v>0</v>
      </c>
      <c r="G285" s="95">
        <f>dados_01!G285</f>
        <v>0</v>
      </c>
      <c r="H285" s="95">
        <f>dados_01!H285</f>
        <v>0</v>
      </c>
      <c r="I285" s="95">
        <f>dados_01!I285</f>
        <v>0</v>
      </c>
      <c r="J285" s="95"/>
      <c r="K285" s="95"/>
      <c r="L285" s="95"/>
      <c r="M285" s="95"/>
      <c r="N285" s="95"/>
      <c r="O285" s="95"/>
      <c r="P285" s="95"/>
      <c r="Q285" s="95"/>
      <c r="R285" s="95"/>
      <c r="S285" s="95"/>
      <c r="T285" s="95"/>
      <c r="U285" s="95"/>
      <c r="V285" s="95"/>
      <c r="W285" s="95"/>
      <c r="X285" s="95"/>
      <c r="Y285" s="95"/>
      <c r="Z285" s="95"/>
    </row>
    <row r="286" ht="15.75" customHeight="1" spans="1:26">
      <c r="A286" s="95">
        <f>dados_01!A286</f>
        <v>0</v>
      </c>
      <c r="B286" s="95">
        <f>dados_01!B286</f>
        <v>0</v>
      </c>
      <c r="C286" s="95" t="str">
        <f>IFERROR(__xludf.DUMMYFUNCTION("JOIN("". "", ARRAYFORMULA(IFERROR(LEFT(SPLIT(dados_01!C286, "" ""), 1))))"),"")</f>
        <v/>
      </c>
      <c r="D286" s="95">
        <f>dados_01!D286</f>
        <v>0</v>
      </c>
      <c r="E286" s="95" t="str">
        <f>CONCATENATE(LEFT(dados_01!E286,3),REPT("*",6),RIGHT(dados_01!E286,2))</f>
        <v>******</v>
      </c>
      <c r="F286" s="95">
        <f>dados_01!F286</f>
        <v>0</v>
      </c>
      <c r="G286" s="95">
        <f>dados_01!G286</f>
        <v>0</v>
      </c>
      <c r="H286" s="95">
        <f>dados_01!H286</f>
        <v>0</v>
      </c>
      <c r="I286" s="95">
        <f>dados_01!I286</f>
        <v>0</v>
      </c>
      <c r="J286" s="95"/>
      <c r="K286" s="95"/>
      <c r="L286" s="95"/>
      <c r="M286" s="95"/>
      <c r="N286" s="95"/>
      <c r="O286" s="95"/>
      <c r="P286" s="95"/>
      <c r="Q286" s="95"/>
      <c r="R286" s="95"/>
      <c r="S286" s="95"/>
      <c r="T286" s="95"/>
      <c r="U286" s="95"/>
      <c r="V286" s="95"/>
      <c r="W286" s="95"/>
      <c r="X286" s="95"/>
      <c r="Y286" s="95"/>
      <c r="Z286" s="95"/>
    </row>
    <row r="287" ht="15.75" customHeight="1" spans="1:26">
      <c r="A287" s="95">
        <f>dados_01!A287</f>
        <v>0</v>
      </c>
      <c r="B287" s="95">
        <f>dados_01!B287</f>
        <v>0</v>
      </c>
      <c r="C287" s="95" t="str">
        <f>IFERROR(__xludf.DUMMYFUNCTION("JOIN("". "", ARRAYFORMULA(IFERROR(LEFT(SPLIT(dados_01!C287, "" ""), 1))))"),"")</f>
        <v/>
      </c>
      <c r="D287" s="95">
        <f>dados_01!D287</f>
        <v>0</v>
      </c>
      <c r="E287" s="95" t="str">
        <f>CONCATENATE(LEFT(dados_01!E287,3),REPT("*",6),RIGHT(dados_01!E287,2))</f>
        <v>******</v>
      </c>
      <c r="F287" s="95">
        <f>dados_01!F287</f>
        <v>0</v>
      </c>
      <c r="G287" s="95">
        <f>dados_01!G287</f>
        <v>0</v>
      </c>
      <c r="H287" s="95">
        <f>dados_01!H287</f>
        <v>0</v>
      </c>
      <c r="I287" s="95">
        <f>dados_01!I287</f>
        <v>0</v>
      </c>
      <c r="J287" s="95"/>
      <c r="K287" s="95"/>
      <c r="L287" s="95"/>
      <c r="M287" s="95"/>
      <c r="N287" s="95"/>
      <c r="O287" s="95"/>
      <c r="P287" s="95"/>
      <c r="Q287" s="95"/>
      <c r="R287" s="95"/>
      <c r="S287" s="95"/>
      <c r="T287" s="95"/>
      <c r="U287" s="95"/>
      <c r="V287" s="95"/>
      <c r="W287" s="95"/>
      <c r="X287" s="95"/>
      <c r="Y287" s="95"/>
      <c r="Z287" s="95"/>
    </row>
    <row r="288" ht="15.75" customHeight="1" spans="1:26">
      <c r="A288" s="95">
        <f>dados_01!A288</f>
        <v>0</v>
      </c>
      <c r="B288" s="95">
        <f>dados_01!B288</f>
        <v>0</v>
      </c>
      <c r="C288" s="95" t="str">
        <f>IFERROR(__xludf.DUMMYFUNCTION("JOIN("". "", ARRAYFORMULA(IFERROR(LEFT(SPLIT(dados_01!C288, "" ""), 1))))"),"")</f>
        <v/>
      </c>
      <c r="D288" s="95">
        <f>dados_01!D288</f>
        <v>0</v>
      </c>
      <c r="E288" s="95" t="str">
        <f>CONCATENATE(LEFT(dados_01!E288,3),REPT("*",6),RIGHT(dados_01!E288,2))</f>
        <v>******</v>
      </c>
      <c r="F288" s="95">
        <f>dados_01!F288</f>
        <v>0</v>
      </c>
      <c r="G288" s="95">
        <f>dados_01!G288</f>
        <v>0</v>
      </c>
      <c r="H288" s="95">
        <f>dados_01!H288</f>
        <v>0</v>
      </c>
      <c r="I288" s="95">
        <f>dados_01!I288</f>
        <v>0</v>
      </c>
      <c r="J288" s="95"/>
      <c r="K288" s="95"/>
      <c r="L288" s="95"/>
      <c r="M288" s="95"/>
      <c r="N288" s="95"/>
      <c r="O288" s="95"/>
      <c r="P288" s="95"/>
      <c r="Q288" s="95"/>
      <c r="R288" s="95"/>
      <c r="S288" s="95"/>
      <c r="T288" s="95"/>
      <c r="U288" s="95"/>
      <c r="V288" s="95"/>
      <c r="W288" s="95"/>
      <c r="X288" s="95"/>
      <c r="Y288" s="95"/>
      <c r="Z288" s="95"/>
    </row>
    <row r="289" ht="15.75" customHeight="1" spans="1:26">
      <c r="A289" s="95">
        <f>dados_01!A289</f>
        <v>0</v>
      </c>
      <c r="B289" s="95">
        <f>dados_01!B289</f>
        <v>0</v>
      </c>
      <c r="C289" s="95" t="str">
        <f>IFERROR(__xludf.DUMMYFUNCTION("JOIN("". "", ARRAYFORMULA(IFERROR(LEFT(SPLIT(dados_01!C289, "" ""), 1))))"),"")</f>
        <v/>
      </c>
      <c r="D289" s="95">
        <f>dados_01!D289</f>
        <v>0</v>
      </c>
      <c r="E289" s="95" t="str">
        <f>CONCATENATE(LEFT(dados_01!E289,3),REPT("*",6),RIGHT(dados_01!E289,2))</f>
        <v>******</v>
      </c>
      <c r="F289" s="95">
        <f>dados_01!F289</f>
        <v>0</v>
      </c>
      <c r="G289" s="95">
        <f>dados_01!G289</f>
        <v>0</v>
      </c>
      <c r="H289" s="95">
        <f>dados_01!H289</f>
        <v>0</v>
      </c>
      <c r="I289" s="95">
        <f>dados_01!I289</f>
        <v>0</v>
      </c>
      <c r="J289" s="95"/>
      <c r="K289" s="95"/>
      <c r="L289" s="95"/>
      <c r="M289" s="95"/>
      <c r="N289" s="95"/>
      <c r="O289" s="95"/>
      <c r="P289" s="95"/>
      <c r="Q289" s="95"/>
      <c r="R289" s="95"/>
      <c r="S289" s="95"/>
      <c r="T289" s="95"/>
      <c r="U289" s="95"/>
      <c r="V289" s="95"/>
      <c r="W289" s="95"/>
      <c r="X289" s="95"/>
      <c r="Y289" s="95"/>
      <c r="Z289" s="95"/>
    </row>
    <row r="290" ht="15.75" customHeight="1" spans="1:26">
      <c r="A290" s="95">
        <f>dados_01!A290</f>
        <v>0</v>
      </c>
      <c r="B290" s="95">
        <f>dados_01!B290</f>
        <v>0</v>
      </c>
      <c r="C290" s="95" t="str">
        <f>IFERROR(__xludf.DUMMYFUNCTION("JOIN("". "", ARRAYFORMULA(IFERROR(LEFT(SPLIT(dados_01!C290, "" ""), 1))))"),"")</f>
        <v/>
      </c>
      <c r="D290" s="95">
        <f>dados_01!D290</f>
        <v>0</v>
      </c>
      <c r="E290" s="95" t="str">
        <f>CONCATENATE(LEFT(dados_01!E290,3),REPT("*",6),RIGHT(dados_01!E290,2))</f>
        <v>******</v>
      </c>
      <c r="F290" s="95">
        <f>dados_01!F290</f>
        <v>0</v>
      </c>
      <c r="G290" s="95">
        <f>dados_01!G290</f>
        <v>0</v>
      </c>
      <c r="H290" s="95">
        <f>dados_01!H290</f>
        <v>0</v>
      </c>
      <c r="I290" s="95">
        <f>dados_01!I290</f>
        <v>0</v>
      </c>
      <c r="J290" s="95"/>
      <c r="K290" s="95"/>
      <c r="L290" s="95"/>
      <c r="M290" s="95"/>
      <c r="N290" s="95"/>
      <c r="O290" s="95"/>
      <c r="P290" s="95"/>
      <c r="Q290" s="95"/>
      <c r="R290" s="95"/>
      <c r="S290" s="95"/>
      <c r="T290" s="95"/>
      <c r="U290" s="95"/>
      <c r="V290" s="95"/>
      <c r="W290" s="95"/>
      <c r="X290" s="95"/>
      <c r="Y290" s="95"/>
      <c r="Z290" s="95"/>
    </row>
    <row r="291" ht="15.75" customHeight="1" spans="1:26">
      <c r="A291" s="95">
        <f>dados_01!A291</f>
        <v>0</v>
      </c>
      <c r="B291" s="95">
        <f>dados_01!B291</f>
        <v>0</v>
      </c>
      <c r="C291" s="95" t="str">
        <f>IFERROR(__xludf.DUMMYFUNCTION("JOIN("". "", ARRAYFORMULA(IFERROR(LEFT(SPLIT(dados_01!C291, "" ""), 1))))"),"")</f>
        <v/>
      </c>
      <c r="D291" s="95">
        <f>dados_01!D291</f>
        <v>0</v>
      </c>
      <c r="E291" s="95" t="str">
        <f>CONCATENATE(LEFT(dados_01!E291,3),REPT("*",6),RIGHT(dados_01!E291,2))</f>
        <v>******</v>
      </c>
      <c r="F291" s="95">
        <f>dados_01!F291</f>
        <v>0</v>
      </c>
      <c r="G291" s="95">
        <f>dados_01!G291</f>
        <v>0</v>
      </c>
      <c r="H291" s="95">
        <f>dados_01!H291</f>
        <v>0</v>
      </c>
      <c r="I291" s="95">
        <f>dados_01!I291</f>
        <v>0</v>
      </c>
      <c r="J291" s="95"/>
      <c r="K291" s="95"/>
      <c r="L291" s="95"/>
      <c r="M291" s="95"/>
      <c r="N291" s="95"/>
      <c r="O291" s="95"/>
      <c r="P291" s="95"/>
      <c r="Q291" s="95"/>
      <c r="R291" s="95"/>
      <c r="S291" s="95"/>
      <c r="T291" s="95"/>
      <c r="U291" s="95"/>
      <c r="V291" s="95"/>
      <c r="W291" s="95"/>
      <c r="X291" s="95"/>
      <c r="Y291" s="95"/>
      <c r="Z291" s="95"/>
    </row>
    <row r="292" ht="15.75" customHeight="1" spans="1:26">
      <c r="A292" s="95">
        <f>dados_01!A292</f>
        <v>0</v>
      </c>
      <c r="B292" s="95">
        <f>dados_01!B292</f>
        <v>0</v>
      </c>
      <c r="C292" s="95" t="str">
        <f>IFERROR(__xludf.DUMMYFUNCTION("JOIN("". "", ARRAYFORMULA(IFERROR(LEFT(SPLIT(dados_01!C292, "" ""), 1))))"),"")</f>
        <v/>
      </c>
      <c r="D292" s="95">
        <f>dados_01!D292</f>
        <v>0</v>
      </c>
      <c r="E292" s="95" t="str">
        <f>CONCATENATE(LEFT(dados_01!E292,3),REPT("*",6),RIGHT(dados_01!E292,2))</f>
        <v>******</v>
      </c>
      <c r="F292" s="95">
        <f>dados_01!F292</f>
        <v>0</v>
      </c>
      <c r="G292" s="95">
        <f>dados_01!G292</f>
        <v>0</v>
      </c>
      <c r="H292" s="95">
        <f>dados_01!H292</f>
        <v>0</v>
      </c>
      <c r="I292" s="95">
        <f>dados_01!I292</f>
        <v>0</v>
      </c>
      <c r="J292" s="95"/>
      <c r="K292" s="95"/>
      <c r="L292" s="95"/>
      <c r="M292" s="95"/>
      <c r="N292" s="95"/>
      <c r="O292" s="95"/>
      <c r="P292" s="95"/>
      <c r="Q292" s="95"/>
      <c r="R292" s="95"/>
      <c r="S292" s="95"/>
      <c r="T292" s="95"/>
      <c r="U292" s="95"/>
      <c r="V292" s="95"/>
      <c r="W292" s="95"/>
      <c r="X292" s="95"/>
      <c r="Y292" s="95"/>
      <c r="Z292" s="95"/>
    </row>
    <row r="293" ht="15.75" customHeight="1" spans="1:26">
      <c r="A293" s="95">
        <f>dados_01!A293</f>
        <v>0</v>
      </c>
      <c r="B293" s="95">
        <f>dados_01!B293</f>
        <v>0</v>
      </c>
      <c r="C293" s="95" t="str">
        <f>IFERROR(__xludf.DUMMYFUNCTION("JOIN("". "", ARRAYFORMULA(IFERROR(LEFT(SPLIT(dados_01!C293, "" ""), 1))))"),"")</f>
        <v/>
      </c>
      <c r="D293" s="95">
        <f>dados_01!D293</f>
        <v>0</v>
      </c>
      <c r="E293" s="95" t="str">
        <f>CONCATENATE(LEFT(dados_01!E293,3),REPT("*",6),RIGHT(dados_01!E293,2))</f>
        <v>******</v>
      </c>
      <c r="F293" s="95">
        <f>dados_01!F293</f>
        <v>0</v>
      </c>
      <c r="G293" s="95">
        <f>dados_01!G293</f>
        <v>0</v>
      </c>
      <c r="H293" s="95">
        <f>dados_01!H293</f>
        <v>0</v>
      </c>
      <c r="I293" s="95">
        <f>dados_01!I293</f>
        <v>0</v>
      </c>
      <c r="J293" s="95"/>
      <c r="K293" s="95"/>
      <c r="L293" s="95"/>
      <c r="M293" s="95"/>
      <c r="N293" s="95"/>
      <c r="O293" s="95"/>
      <c r="P293" s="95"/>
      <c r="Q293" s="95"/>
      <c r="R293" s="95"/>
      <c r="S293" s="95"/>
      <c r="T293" s="95"/>
      <c r="U293" s="95"/>
      <c r="V293" s="95"/>
      <c r="W293" s="95"/>
      <c r="X293" s="95"/>
      <c r="Y293" s="95"/>
      <c r="Z293" s="95"/>
    </row>
    <row r="294" ht="15.75" customHeight="1" spans="1:26">
      <c r="A294" s="95">
        <f>dados_01!A294</f>
        <v>0</v>
      </c>
      <c r="B294" s="95">
        <f>dados_01!B294</f>
        <v>0</v>
      </c>
      <c r="C294" s="95" t="str">
        <f>IFERROR(__xludf.DUMMYFUNCTION("JOIN("". "", ARRAYFORMULA(IFERROR(LEFT(SPLIT(dados_01!C294, "" ""), 1))))"),"")</f>
        <v/>
      </c>
      <c r="D294" s="95">
        <f>dados_01!D294</f>
        <v>0</v>
      </c>
      <c r="E294" s="95" t="str">
        <f>CONCATENATE(LEFT(dados_01!E294,3),REPT("*",6),RIGHT(dados_01!E294,2))</f>
        <v>******</v>
      </c>
      <c r="F294" s="95">
        <f>dados_01!F294</f>
        <v>0</v>
      </c>
      <c r="G294" s="95">
        <f>dados_01!G294</f>
        <v>0</v>
      </c>
      <c r="H294" s="95">
        <f>dados_01!H294</f>
        <v>0</v>
      </c>
      <c r="I294" s="95">
        <f>dados_01!I294</f>
        <v>0</v>
      </c>
      <c r="J294" s="95"/>
      <c r="K294" s="95"/>
      <c r="L294" s="95"/>
      <c r="M294" s="95"/>
      <c r="N294" s="95"/>
      <c r="O294" s="95"/>
      <c r="P294" s="95"/>
      <c r="Q294" s="95"/>
      <c r="R294" s="95"/>
      <c r="S294" s="95"/>
      <c r="T294" s="95"/>
      <c r="U294" s="95"/>
      <c r="V294" s="95"/>
      <c r="W294" s="95"/>
      <c r="X294" s="95"/>
      <c r="Y294" s="95"/>
      <c r="Z294" s="95"/>
    </row>
    <row r="295" ht="15.75" customHeight="1" spans="1:26">
      <c r="A295" s="95">
        <f>dados_01!A295</f>
        <v>0</v>
      </c>
      <c r="B295" s="95">
        <f>dados_01!B295</f>
        <v>0</v>
      </c>
      <c r="C295" s="95" t="str">
        <f>IFERROR(__xludf.DUMMYFUNCTION("JOIN("". "", ARRAYFORMULA(IFERROR(LEFT(SPLIT(dados_01!C295, "" ""), 1))))"),"")</f>
        <v/>
      </c>
      <c r="D295" s="95">
        <f>dados_01!D295</f>
        <v>0</v>
      </c>
      <c r="E295" s="95" t="str">
        <f>CONCATENATE(LEFT(dados_01!E295,3),REPT("*",6),RIGHT(dados_01!E295,2))</f>
        <v>******</v>
      </c>
      <c r="F295" s="95">
        <f>dados_01!F295</f>
        <v>0</v>
      </c>
      <c r="G295" s="95">
        <f>dados_01!G295</f>
        <v>0</v>
      </c>
      <c r="H295" s="95">
        <f>dados_01!H295</f>
        <v>0</v>
      </c>
      <c r="I295" s="95">
        <f>dados_01!I295</f>
        <v>0</v>
      </c>
      <c r="J295" s="95"/>
      <c r="K295" s="95"/>
      <c r="L295" s="95"/>
      <c r="M295" s="95"/>
      <c r="N295" s="95"/>
      <c r="O295" s="95"/>
      <c r="P295" s="95"/>
      <c r="Q295" s="95"/>
      <c r="R295" s="95"/>
      <c r="S295" s="95"/>
      <c r="T295" s="95"/>
      <c r="U295" s="95"/>
      <c r="V295" s="95"/>
      <c r="W295" s="95"/>
      <c r="X295" s="95"/>
      <c r="Y295" s="95"/>
      <c r="Z295" s="95"/>
    </row>
    <row r="296" ht="15.75" customHeight="1" spans="1:26">
      <c r="A296" s="95">
        <f>dados_01!A296</f>
        <v>0</v>
      </c>
      <c r="B296" s="95">
        <f>dados_01!B296</f>
        <v>0</v>
      </c>
      <c r="C296" s="95" t="str">
        <f>IFERROR(__xludf.DUMMYFUNCTION("JOIN("". "", ARRAYFORMULA(IFERROR(LEFT(SPLIT(dados_01!C296, "" ""), 1))))"),"")</f>
        <v/>
      </c>
      <c r="D296" s="95">
        <f>dados_01!D296</f>
        <v>0</v>
      </c>
      <c r="E296" s="95" t="str">
        <f>CONCATENATE(LEFT(dados_01!E296,3),REPT("*",6),RIGHT(dados_01!E296,2))</f>
        <v>******</v>
      </c>
      <c r="F296" s="95">
        <f>dados_01!F296</f>
        <v>0</v>
      </c>
      <c r="G296" s="95">
        <f>dados_01!G296</f>
        <v>0</v>
      </c>
      <c r="H296" s="95">
        <f>dados_01!H296</f>
        <v>0</v>
      </c>
      <c r="I296" s="95">
        <f>dados_01!I296</f>
        <v>0</v>
      </c>
      <c r="J296" s="95"/>
      <c r="K296" s="95"/>
      <c r="L296" s="95"/>
      <c r="M296" s="95"/>
      <c r="N296" s="95"/>
      <c r="O296" s="95"/>
      <c r="P296" s="95"/>
      <c r="Q296" s="95"/>
      <c r="R296" s="95"/>
      <c r="S296" s="95"/>
      <c r="T296" s="95"/>
      <c r="U296" s="95"/>
      <c r="V296" s="95"/>
      <c r="W296" s="95"/>
      <c r="X296" s="95"/>
      <c r="Y296" s="95"/>
      <c r="Z296" s="95"/>
    </row>
    <row r="297" ht="15.75" customHeight="1" spans="1:26">
      <c r="A297" s="95">
        <f>dados_01!A297</f>
        <v>0</v>
      </c>
      <c r="B297" s="95">
        <f>dados_01!B297</f>
        <v>0</v>
      </c>
      <c r="C297" s="95" t="str">
        <f>IFERROR(__xludf.DUMMYFUNCTION("JOIN("". "", ARRAYFORMULA(IFERROR(LEFT(SPLIT(dados_01!C297, "" ""), 1))))"),"")</f>
        <v/>
      </c>
      <c r="D297" s="95">
        <f>dados_01!D297</f>
        <v>0</v>
      </c>
      <c r="E297" s="95" t="str">
        <f>CONCATENATE(LEFT(dados_01!E297,3),REPT("*",6),RIGHT(dados_01!E297,2))</f>
        <v>******</v>
      </c>
      <c r="F297" s="95">
        <f>dados_01!F297</f>
        <v>0</v>
      </c>
      <c r="G297" s="95">
        <f>dados_01!G297</f>
        <v>0</v>
      </c>
      <c r="H297" s="95">
        <f>dados_01!H297</f>
        <v>0</v>
      </c>
      <c r="I297" s="95">
        <f>dados_01!I297</f>
        <v>0</v>
      </c>
      <c r="J297" s="95"/>
      <c r="K297" s="95"/>
      <c r="L297" s="95"/>
      <c r="M297" s="95"/>
      <c r="N297" s="95"/>
      <c r="O297" s="95"/>
      <c r="P297" s="95"/>
      <c r="Q297" s="95"/>
      <c r="R297" s="95"/>
      <c r="S297" s="95"/>
      <c r="T297" s="95"/>
      <c r="U297" s="95"/>
      <c r="V297" s="95"/>
      <c r="W297" s="95"/>
      <c r="X297" s="95"/>
      <c r="Y297" s="95"/>
      <c r="Z297" s="95"/>
    </row>
    <row r="298" ht="15.75" customHeight="1" spans="1:26">
      <c r="A298" s="95">
        <f>dados_01!A298</f>
        <v>0</v>
      </c>
      <c r="B298" s="95">
        <f>dados_01!B298</f>
        <v>0</v>
      </c>
      <c r="C298" s="95" t="str">
        <f>IFERROR(__xludf.DUMMYFUNCTION("JOIN("". "", ARRAYFORMULA(IFERROR(LEFT(SPLIT(dados_01!C298, "" ""), 1))))"),"")</f>
        <v/>
      </c>
      <c r="D298" s="95">
        <f>dados_01!D298</f>
        <v>0</v>
      </c>
      <c r="E298" s="95" t="str">
        <f>CONCATENATE(LEFT(dados_01!E298,3),REPT("*",6),RIGHT(dados_01!E298,2))</f>
        <v>******</v>
      </c>
      <c r="F298" s="95">
        <f>dados_01!F298</f>
        <v>0</v>
      </c>
      <c r="G298" s="95">
        <f>dados_01!G298</f>
        <v>0</v>
      </c>
      <c r="H298" s="95">
        <f>dados_01!H298</f>
        <v>0</v>
      </c>
      <c r="I298" s="95">
        <f>dados_01!I298</f>
        <v>0</v>
      </c>
      <c r="J298" s="95"/>
      <c r="K298" s="95"/>
      <c r="L298" s="95"/>
      <c r="M298" s="95"/>
      <c r="N298" s="95"/>
      <c r="O298" s="95"/>
      <c r="P298" s="95"/>
      <c r="Q298" s="95"/>
      <c r="R298" s="95"/>
      <c r="S298" s="95"/>
      <c r="T298" s="95"/>
      <c r="U298" s="95"/>
      <c r="V298" s="95"/>
      <c r="W298" s="95"/>
      <c r="X298" s="95"/>
      <c r="Y298" s="95"/>
      <c r="Z298" s="95"/>
    </row>
    <row r="299" ht="15.75" customHeight="1" spans="1:26">
      <c r="A299" s="95">
        <f>dados_01!A299</f>
        <v>0</v>
      </c>
      <c r="B299" s="95">
        <f>dados_01!B299</f>
        <v>0</v>
      </c>
      <c r="C299" s="95" t="str">
        <f>IFERROR(__xludf.DUMMYFUNCTION("JOIN("". "", ARRAYFORMULA(IFERROR(LEFT(SPLIT(dados_01!C299, "" ""), 1))))"),"")</f>
        <v/>
      </c>
      <c r="D299" s="95">
        <f>dados_01!D299</f>
        <v>0</v>
      </c>
      <c r="E299" s="95" t="str">
        <f>CONCATENATE(LEFT(dados_01!E299,3),REPT("*",6),RIGHT(dados_01!E299,2))</f>
        <v>******</v>
      </c>
      <c r="F299" s="95">
        <f>dados_01!F299</f>
        <v>0</v>
      </c>
      <c r="G299" s="95">
        <f>dados_01!G299</f>
        <v>0</v>
      </c>
      <c r="H299" s="95">
        <f>dados_01!H299</f>
        <v>0</v>
      </c>
      <c r="I299" s="95">
        <f>dados_01!I299</f>
        <v>0</v>
      </c>
      <c r="J299" s="95"/>
      <c r="K299" s="95"/>
      <c r="L299" s="95"/>
      <c r="M299" s="95"/>
      <c r="N299" s="95"/>
      <c r="O299" s="95"/>
      <c r="P299" s="95"/>
      <c r="Q299" s="95"/>
      <c r="R299" s="95"/>
      <c r="S299" s="95"/>
      <c r="T299" s="95"/>
      <c r="U299" s="95"/>
      <c r="V299" s="95"/>
      <c r="W299" s="95"/>
      <c r="X299" s="95"/>
      <c r="Y299" s="95"/>
      <c r="Z299" s="95"/>
    </row>
    <row r="300" ht="15.75" customHeight="1" spans="1:26">
      <c r="A300" s="95">
        <f>dados_01!A300</f>
        <v>0</v>
      </c>
      <c r="B300" s="95">
        <f>dados_01!B300</f>
        <v>0</v>
      </c>
      <c r="C300" s="95" t="str">
        <f>IFERROR(__xludf.DUMMYFUNCTION("JOIN("". "", ARRAYFORMULA(IFERROR(LEFT(SPLIT(dados_01!C300, "" ""), 1))))"),"")</f>
        <v/>
      </c>
      <c r="D300" s="95">
        <f>dados_01!D300</f>
        <v>0</v>
      </c>
      <c r="E300" s="95" t="str">
        <f>CONCATENATE(LEFT(dados_01!E300,3),REPT("*",6),RIGHT(dados_01!E300,2))</f>
        <v>******</v>
      </c>
      <c r="F300" s="95">
        <f>dados_01!F300</f>
        <v>0</v>
      </c>
      <c r="G300" s="95">
        <f>dados_01!G300</f>
        <v>0</v>
      </c>
      <c r="H300" s="95">
        <f>dados_01!H300</f>
        <v>0</v>
      </c>
      <c r="I300" s="95">
        <f>dados_01!I300</f>
        <v>0</v>
      </c>
      <c r="J300" s="95"/>
      <c r="K300" s="95"/>
      <c r="L300" s="95"/>
      <c r="M300" s="95"/>
      <c r="N300" s="95"/>
      <c r="O300" s="95"/>
      <c r="P300" s="95"/>
      <c r="Q300" s="95"/>
      <c r="R300" s="95"/>
      <c r="S300" s="95"/>
      <c r="T300" s="95"/>
      <c r="U300" s="95"/>
      <c r="V300" s="95"/>
      <c r="W300" s="95"/>
      <c r="X300" s="95"/>
      <c r="Y300" s="95"/>
      <c r="Z300" s="95"/>
    </row>
    <row r="301" ht="15.75" customHeight="1" spans="1:26">
      <c r="A301" s="95">
        <f>dados_01!A301</f>
        <v>0</v>
      </c>
      <c r="B301" s="95">
        <f>dados_01!B301</f>
        <v>0</v>
      </c>
      <c r="C301" s="95" t="str">
        <f>IFERROR(__xludf.DUMMYFUNCTION("JOIN("". "", ARRAYFORMULA(IFERROR(LEFT(SPLIT(dados_01!C301, "" ""), 1))))"),"")</f>
        <v/>
      </c>
      <c r="D301" s="95">
        <f>dados_01!D301</f>
        <v>0</v>
      </c>
      <c r="E301" s="95" t="str">
        <f>CONCATENATE(LEFT(dados_01!E301,3),REPT("*",6),RIGHT(dados_01!E301,2))</f>
        <v>******</v>
      </c>
      <c r="F301" s="95">
        <f>dados_01!F301</f>
        <v>0</v>
      </c>
      <c r="G301" s="95">
        <f>dados_01!G301</f>
        <v>0</v>
      </c>
      <c r="H301" s="95">
        <f>dados_01!H301</f>
        <v>0</v>
      </c>
      <c r="I301" s="95">
        <f>dados_01!I301</f>
        <v>0</v>
      </c>
      <c r="J301" s="95"/>
      <c r="K301" s="95"/>
      <c r="L301" s="95"/>
      <c r="M301" s="95"/>
      <c r="N301" s="95"/>
      <c r="O301" s="95"/>
      <c r="P301" s="95"/>
      <c r="Q301" s="95"/>
      <c r="R301" s="95"/>
      <c r="S301" s="95"/>
      <c r="T301" s="95"/>
      <c r="U301" s="95"/>
      <c r="V301" s="95"/>
      <c r="W301" s="95"/>
      <c r="X301" s="95"/>
      <c r="Y301" s="95"/>
      <c r="Z301" s="95"/>
    </row>
    <row r="302" ht="15.75" customHeight="1" spans="1:26">
      <c r="A302" s="95">
        <f>dados_01!A302</f>
        <v>0</v>
      </c>
      <c r="B302" s="95">
        <f>dados_01!B302</f>
        <v>0</v>
      </c>
      <c r="C302" s="95" t="str">
        <f>IFERROR(__xludf.DUMMYFUNCTION("JOIN("". "", ARRAYFORMULA(IFERROR(LEFT(SPLIT(dados_01!C302, "" ""), 1))))"),"")</f>
        <v/>
      </c>
      <c r="D302" s="95">
        <f>dados_01!D302</f>
        <v>0</v>
      </c>
      <c r="E302" s="95" t="str">
        <f>CONCATENATE(LEFT(dados_01!E302,3),REPT("*",6),RIGHT(dados_01!E302,2))</f>
        <v>******</v>
      </c>
      <c r="F302" s="95">
        <f>dados_01!F302</f>
        <v>0</v>
      </c>
      <c r="G302" s="95">
        <f>dados_01!G302</f>
        <v>0</v>
      </c>
      <c r="H302" s="95">
        <f>dados_01!H302</f>
        <v>0</v>
      </c>
      <c r="I302" s="95">
        <f>dados_01!I302</f>
        <v>0</v>
      </c>
      <c r="J302" s="95"/>
      <c r="K302" s="95"/>
      <c r="L302" s="95"/>
      <c r="M302" s="95"/>
      <c r="N302" s="95"/>
      <c r="O302" s="95"/>
      <c r="P302" s="95"/>
      <c r="Q302" s="95"/>
      <c r="R302" s="95"/>
      <c r="S302" s="95"/>
      <c r="T302" s="95"/>
      <c r="U302" s="95"/>
      <c r="V302" s="95"/>
      <c r="W302" s="95"/>
      <c r="X302" s="95"/>
      <c r="Y302" s="95"/>
      <c r="Z302" s="95"/>
    </row>
    <row r="303" ht="15.75" customHeight="1" spans="1:26">
      <c r="A303" s="95">
        <f>dados_01!A303</f>
        <v>0</v>
      </c>
      <c r="B303" s="95">
        <f>dados_01!B303</f>
        <v>0</v>
      </c>
      <c r="C303" s="95" t="str">
        <f>IFERROR(__xludf.DUMMYFUNCTION("JOIN("". "", ARRAYFORMULA(IFERROR(LEFT(SPLIT(dados_01!C303, "" ""), 1))))"),"")</f>
        <v/>
      </c>
      <c r="D303" s="95">
        <f>dados_01!D303</f>
        <v>0</v>
      </c>
      <c r="E303" s="95" t="str">
        <f>CONCATENATE(LEFT(dados_01!E303,3),REPT("*",6),RIGHT(dados_01!E303,2))</f>
        <v>******</v>
      </c>
      <c r="F303" s="95">
        <f>dados_01!F303</f>
        <v>0</v>
      </c>
      <c r="G303" s="95">
        <f>dados_01!G303</f>
        <v>0</v>
      </c>
      <c r="H303" s="95">
        <f>dados_01!H303</f>
        <v>0</v>
      </c>
      <c r="I303" s="95">
        <f>dados_01!I303</f>
        <v>0</v>
      </c>
      <c r="J303" s="95"/>
      <c r="K303" s="95"/>
      <c r="L303" s="95"/>
      <c r="M303" s="95"/>
      <c r="N303" s="95"/>
      <c r="O303" s="95"/>
      <c r="P303" s="95"/>
      <c r="Q303" s="95"/>
      <c r="R303" s="95"/>
      <c r="S303" s="95"/>
      <c r="T303" s="95"/>
      <c r="U303" s="95"/>
      <c r="V303" s="95"/>
      <c r="W303" s="95"/>
      <c r="X303" s="95"/>
      <c r="Y303" s="95"/>
      <c r="Z303" s="95"/>
    </row>
    <row r="304" ht="15.75" customHeight="1" spans="1:26">
      <c r="A304" s="95">
        <f>dados_01!A304</f>
        <v>0</v>
      </c>
      <c r="B304" s="95">
        <f>dados_01!B304</f>
        <v>0</v>
      </c>
      <c r="C304" s="95" t="str">
        <f>IFERROR(__xludf.DUMMYFUNCTION("JOIN("". "", ARRAYFORMULA(IFERROR(LEFT(SPLIT(dados_01!C304, "" ""), 1))))"),"")</f>
        <v/>
      </c>
      <c r="D304" s="95">
        <f>dados_01!D304</f>
        <v>0</v>
      </c>
      <c r="E304" s="95" t="str">
        <f>CONCATENATE(LEFT(dados_01!E304,3),REPT("*",6),RIGHT(dados_01!E304,2))</f>
        <v>******</v>
      </c>
      <c r="F304" s="95">
        <f>dados_01!F304</f>
        <v>0</v>
      </c>
      <c r="G304" s="95">
        <f>dados_01!G304</f>
        <v>0</v>
      </c>
      <c r="H304" s="95">
        <f>dados_01!H304</f>
        <v>0</v>
      </c>
      <c r="I304" s="95">
        <f>dados_01!I304</f>
        <v>0</v>
      </c>
      <c r="J304" s="95"/>
      <c r="K304" s="95"/>
      <c r="L304" s="95"/>
      <c r="M304" s="95"/>
      <c r="N304" s="95"/>
      <c r="O304" s="95"/>
      <c r="P304" s="95"/>
      <c r="Q304" s="95"/>
      <c r="R304" s="95"/>
      <c r="S304" s="95"/>
      <c r="T304" s="95"/>
      <c r="U304" s="95"/>
      <c r="V304" s="95"/>
      <c r="W304" s="95"/>
      <c r="X304" s="95"/>
      <c r="Y304" s="95"/>
      <c r="Z304" s="95"/>
    </row>
    <row r="305" ht="15.75" customHeight="1" spans="1:26">
      <c r="A305" s="95">
        <f>dados_01!A305</f>
        <v>0</v>
      </c>
      <c r="B305" s="95">
        <f>dados_01!B305</f>
        <v>0</v>
      </c>
      <c r="C305" s="95" t="str">
        <f>IFERROR(__xludf.DUMMYFUNCTION("JOIN("". "", ARRAYFORMULA(IFERROR(LEFT(SPLIT(dados_01!C305, "" ""), 1))))"),"")</f>
        <v/>
      </c>
      <c r="D305" s="95">
        <f>dados_01!D305</f>
        <v>0</v>
      </c>
      <c r="E305" s="95" t="str">
        <f>CONCATENATE(LEFT(dados_01!E305,3),REPT("*",6),RIGHT(dados_01!E305,2))</f>
        <v>******</v>
      </c>
      <c r="F305" s="95">
        <f>dados_01!F305</f>
        <v>0</v>
      </c>
      <c r="G305" s="95">
        <f>dados_01!G305</f>
        <v>0</v>
      </c>
      <c r="H305" s="95">
        <f>dados_01!H305</f>
        <v>0</v>
      </c>
      <c r="I305" s="95">
        <f>dados_01!I305</f>
        <v>0</v>
      </c>
      <c r="J305" s="95"/>
      <c r="K305" s="95"/>
      <c r="L305" s="95"/>
      <c r="M305" s="95"/>
      <c r="N305" s="95"/>
      <c r="O305" s="95"/>
      <c r="P305" s="95"/>
      <c r="Q305" s="95"/>
      <c r="R305" s="95"/>
      <c r="S305" s="95"/>
      <c r="T305" s="95"/>
      <c r="U305" s="95"/>
      <c r="V305" s="95"/>
      <c r="W305" s="95"/>
      <c r="X305" s="95"/>
      <c r="Y305" s="95"/>
      <c r="Z305" s="95"/>
    </row>
    <row r="306" ht="15.75" customHeight="1" spans="1:26">
      <c r="A306" s="95">
        <f>dados_01!A306</f>
        <v>0</v>
      </c>
      <c r="B306" s="95">
        <f>dados_01!B306</f>
        <v>0</v>
      </c>
      <c r="C306" s="95" t="str">
        <f>IFERROR(__xludf.DUMMYFUNCTION("JOIN("". "", ARRAYFORMULA(IFERROR(LEFT(SPLIT(dados_01!C306, "" ""), 1))))"),"")</f>
        <v/>
      </c>
      <c r="D306" s="95">
        <f>dados_01!D306</f>
        <v>0</v>
      </c>
      <c r="E306" s="95" t="str">
        <f>CONCATENATE(LEFT(dados_01!E306,3),REPT("*",6),RIGHT(dados_01!E306,2))</f>
        <v>******</v>
      </c>
      <c r="F306" s="95">
        <f>dados_01!F306</f>
        <v>0</v>
      </c>
      <c r="G306" s="95">
        <f>dados_01!G306</f>
        <v>0</v>
      </c>
      <c r="H306" s="95">
        <f>dados_01!H306</f>
        <v>0</v>
      </c>
      <c r="I306" s="95">
        <f>dados_01!I306</f>
        <v>0</v>
      </c>
      <c r="J306" s="95"/>
      <c r="K306" s="95"/>
      <c r="L306" s="95"/>
      <c r="M306" s="95"/>
      <c r="N306" s="95"/>
      <c r="O306" s="95"/>
      <c r="P306" s="95"/>
      <c r="Q306" s="95"/>
      <c r="R306" s="95"/>
      <c r="S306" s="95"/>
      <c r="T306" s="95"/>
      <c r="U306" s="95"/>
      <c r="V306" s="95"/>
      <c r="W306" s="95"/>
      <c r="X306" s="95"/>
      <c r="Y306" s="95"/>
      <c r="Z306" s="95"/>
    </row>
    <row r="307" ht="15.75" customHeight="1" spans="1:26">
      <c r="A307" s="95">
        <f>dados_01!A307</f>
        <v>0</v>
      </c>
      <c r="B307" s="95">
        <f>dados_01!B307</f>
        <v>0</v>
      </c>
      <c r="C307" s="95" t="str">
        <f>IFERROR(__xludf.DUMMYFUNCTION("JOIN("". "", ARRAYFORMULA(IFERROR(LEFT(SPLIT(dados_01!C307, "" ""), 1))))"),"")</f>
        <v/>
      </c>
      <c r="D307" s="95">
        <f>dados_01!D307</f>
        <v>0</v>
      </c>
      <c r="E307" s="95" t="str">
        <f>CONCATENATE(LEFT(dados_01!E307,3),REPT("*",6),RIGHT(dados_01!E307,2))</f>
        <v>******</v>
      </c>
      <c r="F307" s="95">
        <f>dados_01!F307</f>
        <v>0</v>
      </c>
      <c r="G307" s="95">
        <f>dados_01!G307</f>
        <v>0</v>
      </c>
      <c r="H307" s="95">
        <f>dados_01!H307</f>
        <v>0</v>
      </c>
      <c r="I307" s="95">
        <f>dados_01!I307</f>
        <v>0</v>
      </c>
      <c r="J307" s="95"/>
      <c r="K307" s="95"/>
      <c r="L307" s="95"/>
      <c r="M307" s="95"/>
      <c r="N307" s="95"/>
      <c r="O307" s="95"/>
      <c r="P307" s="95"/>
      <c r="Q307" s="95"/>
      <c r="R307" s="95"/>
      <c r="S307" s="95"/>
      <c r="T307" s="95"/>
      <c r="U307" s="95"/>
      <c r="V307" s="95"/>
      <c r="W307" s="95"/>
      <c r="X307" s="95"/>
      <c r="Y307" s="95"/>
      <c r="Z307" s="95"/>
    </row>
    <row r="308" ht="15.75" customHeight="1" spans="1:26">
      <c r="A308" s="95">
        <f>dados_01!A308</f>
        <v>0</v>
      </c>
      <c r="B308" s="95">
        <f>dados_01!B308</f>
        <v>0</v>
      </c>
      <c r="C308" s="95" t="str">
        <f>IFERROR(__xludf.DUMMYFUNCTION("JOIN("". "", ARRAYFORMULA(IFERROR(LEFT(SPLIT(dados_01!C308, "" ""), 1))))"),"")</f>
        <v/>
      </c>
      <c r="D308" s="95">
        <f>dados_01!D308</f>
        <v>0</v>
      </c>
      <c r="E308" s="95" t="str">
        <f>CONCATENATE(LEFT(dados_01!E308,3),REPT("*",6),RIGHT(dados_01!E308,2))</f>
        <v>******</v>
      </c>
      <c r="F308" s="95">
        <f>dados_01!F308</f>
        <v>0</v>
      </c>
      <c r="G308" s="95">
        <f>dados_01!G308</f>
        <v>0</v>
      </c>
      <c r="H308" s="95">
        <f>dados_01!H308</f>
        <v>0</v>
      </c>
      <c r="I308" s="95">
        <f>dados_01!I308</f>
        <v>0</v>
      </c>
      <c r="J308" s="95"/>
      <c r="K308" s="95"/>
      <c r="L308" s="95"/>
      <c r="M308" s="95"/>
      <c r="N308" s="95"/>
      <c r="O308" s="95"/>
      <c r="P308" s="95"/>
      <c r="Q308" s="95"/>
      <c r="R308" s="95"/>
      <c r="S308" s="95"/>
      <c r="T308" s="95"/>
      <c r="U308" s="95"/>
      <c r="V308" s="95"/>
      <c r="W308" s="95"/>
      <c r="X308" s="95"/>
      <c r="Y308" s="95"/>
      <c r="Z308" s="95"/>
    </row>
    <row r="309" ht="15.75" customHeight="1" spans="1:26">
      <c r="A309" s="95">
        <f>dados_01!A309</f>
        <v>0</v>
      </c>
      <c r="B309" s="95">
        <f>dados_01!B309</f>
        <v>0</v>
      </c>
      <c r="C309" s="95" t="str">
        <f>IFERROR(__xludf.DUMMYFUNCTION("JOIN("". "", ARRAYFORMULA(IFERROR(LEFT(SPLIT(dados_01!C309, "" ""), 1))))"),"")</f>
        <v/>
      </c>
      <c r="D309" s="95">
        <f>dados_01!D309</f>
        <v>0</v>
      </c>
      <c r="E309" s="95" t="str">
        <f>CONCATENATE(LEFT(dados_01!E309,3),REPT("*",6),RIGHT(dados_01!E309,2))</f>
        <v>******</v>
      </c>
      <c r="F309" s="95">
        <f>dados_01!F309</f>
        <v>0</v>
      </c>
      <c r="G309" s="95">
        <f>dados_01!G309</f>
        <v>0</v>
      </c>
      <c r="H309" s="95">
        <f>dados_01!H309</f>
        <v>0</v>
      </c>
      <c r="I309" s="95">
        <f>dados_01!I309</f>
        <v>0</v>
      </c>
      <c r="J309" s="95"/>
      <c r="K309" s="95"/>
      <c r="L309" s="95"/>
      <c r="M309" s="95"/>
      <c r="N309" s="95"/>
      <c r="O309" s="95"/>
      <c r="P309" s="95"/>
      <c r="Q309" s="95"/>
      <c r="R309" s="95"/>
      <c r="S309" s="95"/>
      <c r="T309" s="95"/>
      <c r="U309" s="95"/>
      <c r="V309" s="95"/>
      <c r="W309" s="95"/>
      <c r="X309" s="95"/>
      <c r="Y309" s="95"/>
      <c r="Z309" s="95"/>
    </row>
    <row r="310" ht="15.75" customHeight="1" spans="1:26">
      <c r="A310" s="95">
        <f>dados_01!A310</f>
        <v>0</v>
      </c>
      <c r="B310" s="95">
        <f>dados_01!B310</f>
        <v>0</v>
      </c>
      <c r="C310" s="95" t="str">
        <f>IFERROR(__xludf.DUMMYFUNCTION("JOIN("". "", ARRAYFORMULA(IFERROR(LEFT(SPLIT(dados_01!C310, "" ""), 1))))"),"")</f>
        <v/>
      </c>
      <c r="D310" s="95">
        <f>dados_01!D310</f>
        <v>0</v>
      </c>
      <c r="E310" s="95" t="str">
        <f>CONCATENATE(LEFT(dados_01!E310,3),REPT("*",6),RIGHT(dados_01!E310,2))</f>
        <v>******</v>
      </c>
      <c r="F310" s="95">
        <f>dados_01!F310</f>
        <v>0</v>
      </c>
      <c r="G310" s="95">
        <f>dados_01!G310</f>
        <v>0</v>
      </c>
      <c r="H310" s="95">
        <f>dados_01!H310</f>
        <v>0</v>
      </c>
      <c r="I310" s="95">
        <f>dados_01!I310</f>
        <v>0</v>
      </c>
      <c r="J310" s="95"/>
      <c r="K310" s="95"/>
      <c r="L310" s="95"/>
      <c r="M310" s="95"/>
      <c r="N310" s="95"/>
      <c r="O310" s="95"/>
      <c r="P310" s="95"/>
      <c r="Q310" s="95"/>
      <c r="R310" s="95"/>
      <c r="S310" s="95"/>
      <c r="T310" s="95"/>
      <c r="U310" s="95"/>
      <c r="V310" s="95"/>
      <c r="W310" s="95"/>
      <c r="X310" s="95"/>
      <c r="Y310" s="95"/>
      <c r="Z310" s="95"/>
    </row>
    <row r="311" ht="15.75" customHeight="1" spans="1:26">
      <c r="A311" s="95">
        <f>dados_01!A311</f>
        <v>0</v>
      </c>
      <c r="B311" s="95">
        <f>dados_01!B311</f>
        <v>0</v>
      </c>
      <c r="C311" s="95" t="str">
        <f>IFERROR(__xludf.DUMMYFUNCTION("JOIN("". "", ARRAYFORMULA(IFERROR(LEFT(SPLIT(dados_01!C311, "" ""), 1))))"),"")</f>
        <v/>
      </c>
      <c r="D311" s="95">
        <f>dados_01!D311</f>
        <v>0</v>
      </c>
      <c r="E311" s="95" t="str">
        <f>CONCATENATE(LEFT(dados_01!E311,3),REPT("*",6),RIGHT(dados_01!E311,2))</f>
        <v>******</v>
      </c>
      <c r="F311" s="95">
        <f>dados_01!F311</f>
        <v>0</v>
      </c>
      <c r="G311" s="95">
        <f>dados_01!G311</f>
        <v>0</v>
      </c>
      <c r="H311" s="95">
        <f>dados_01!H311</f>
        <v>0</v>
      </c>
      <c r="I311" s="95">
        <f>dados_01!I311</f>
        <v>0</v>
      </c>
      <c r="J311" s="95"/>
      <c r="K311" s="95"/>
      <c r="L311" s="95"/>
      <c r="M311" s="95"/>
      <c r="N311" s="95"/>
      <c r="O311" s="95"/>
      <c r="P311" s="95"/>
      <c r="Q311" s="95"/>
      <c r="R311" s="95"/>
      <c r="S311" s="95"/>
      <c r="T311" s="95"/>
      <c r="U311" s="95"/>
      <c r="V311" s="95"/>
      <c r="W311" s="95"/>
      <c r="X311" s="95"/>
      <c r="Y311" s="95"/>
      <c r="Z311" s="95"/>
    </row>
    <row r="312" ht="15.75" customHeight="1" spans="1:26">
      <c r="A312" s="95">
        <f>dados_01!A312</f>
        <v>0</v>
      </c>
      <c r="B312" s="95">
        <f>dados_01!B312</f>
        <v>0</v>
      </c>
      <c r="C312" s="95" t="str">
        <f>IFERROR(__xludf.DUMMYFUNCTION("JOIN("". "", ARRAYFORMULA(IFERROR(LEFT(SPLIT(dados_01!C312, "" ""), 1))))"),"")</f>
        <v/>
      </c>
      <c r="D312" s="95">
        <f>dados_01!D312</f>
        <v>0</v>
      </c>
      <c r="E312" s="95" t="str">
        <f>CONCATENATE(LEFT(dados_01!E312,3),REPT("*",6),RIGHT(dados_01!E312,2))</f>
        <v>******</v>
      </c>
      <c r="F312" s="95">
        <f>dados_01!F312</f>
        <v>0</v>
      </c>
      <c r="G312" s="95">
        <f>dados_01!G312</f>
        <v>0</v>
      </c>
      <c r="H312" s="95">
        <f>dados_01!H312</f>
        <v>0</v>
      </c>
      <c r="I312" s="95">
        <f>dados_01!I312</f>
        <v>0</v>
      </c>
      <c r="J312" s="95"/>
      <c r="K312" s="95"/>
      <c r="L312" s="95"/>
      <c r="M312" s="95"/>
      <c r="N312" s="95"/>
      <c r="O312" s="95"/>
      <c r="P312" s="95"/>
      <c r="Q312" s="95"/>
      <c r="R312" s="95"/>
      <c r="S312" s="95"/>
      <c r="T312" s="95"/>
      <c r="U312" s="95"/>
      <c r="V312" s="95"/>
      <c r="W312" s="95"/>
      <c r="X312" s="95"/>
      <c r="Y312" s="95"/>
      <c r="Z312" s="95"/>
    </row>
    <row r="313" ht="15.75" customHeight="1" spans="1:26">
      <c r="A313" s="95">
        <f>dados_01!A313</f>
        <v>0</v>
      </c>
      <c r="B313" s="95">
        <f>dados_01!B313</f>
        <v>0</v>
      </c>
      <c r="C313" s="95" t="str">
        <f>IFERROR(__xludf.DUMMYFUNCTION("JOIN("". "", ARRAYFORMULA(IFERROR(LEFT(SPLIT(dados_01!C313, "" ""), 1))))"),"")</f>
        <v/>
      </c>
      <c r="D313" s="95">
        <f>dados_01!D313</f>
        <v>0</v>
      </c>
      <c r="E313" s="95" t="str">
        <f>CONCATENATE(LEFT(dados_01!E313,3),REPT("*",6),RIGHT(dados_01!E313,2))</f>
        <v>******</v>
      </c>
      <c r="F313" s="95">
        <f>dados_01!F313</f>
        <v>0</v>
      </c>
      <c r="G313" s="95">
        <f>dados_01!G313</f>
        <v>0</v>
      </c>
      <c r="H313" s="95">
        <f>dados_01!H313</f>
        <v>0</v>
      </c>
      <c r="I313" s="95">
        <f>dados_01!I313</f>
        <v>0</v>
      </c>
      <c r="J313" s="95"/>
      <c r="K313" s="95"/>
      <c r="L313" s="95"/>
      <c r="M313" s="95"/>
      <c r="N313" s="95"/>
      <c r="O313" s="95"/>
      <c r="P313" s="95"/>
      <c r="Q313" s="95"/>
      <c r="R313" s="95"/>
      <c r="S313" s="95"/>
      <c r="T313" s="95"/>
      <c r="U313" s="95"/>
      <c r="V313" s="95"/>
      <c r="W313" s="95"/>
      <c r="X313" s="95"/>
      <c r="Y313" s="95"/>
      <c r="Z313" s="95"/>
    </row>
    <row r="314" ht="15.75" customHeight="1" spans="1:26">
      <c r="A314" s="95">
        <f>dados_01!A314</f>
        <v>0</v>
      </c>
      <c r="B314" s="95">
        <f>dados_01!B314</f>
        <v>0</v>
      </c>
      <c r="C314" s="95" t="str">
        <f>IFERROR(__xludf.DUMMYFUNCTION("JOIN("". "", ARRAYFORMULA(IFERROR(LEFT(SPLIT(dados_01!C314, "" ""), 1))))"),"")</f>
        <v/>
      </c>
      <c r="D314" s="95">
        <f>dados_01!D314</f>
        <v>0</v>
      </c>
      <c r="E314" s="95" t="str">
        <f>CONCATENATE(LEFT(dados_01!E314,3),REPT("*",6),RIGHT(dados_01!E314,2))</f>
        <v>******</v>
      </c>
      <c r="F314" s="95">
        <f>dados_01!F314</f>
        <v>0</v>
      </c>
      <c r="G314" s="95">
        <f>dados_01!G314</f>
        <v>0</v>
      </c>
      <c r="H314" s="95">
        <f>dados_01!H314</f>
        <v>0</v>
      </c>
      <c r="I314" s="95">
        <f>dados_01!I314</f>
        <v>0</v>
      </c>
      <c r="J314" s="95"/>
      <c r="K314" s="95"/>
      <c r="L314" s="95"/>
      <c r="M314" s="95"/>
      <c r="N314" s="95"/>
      <c r="O314" s="95"/>
      <c r="P314" s="95"/>
      <c r="Q314" s="95"/>
      <c r="R314" s="95"/>
      <c r="S314" s="95"/>
      <c r="T314" s="95"/>
      <c r="U314" s="95"/>
      <c r="V314" s="95"/>
      <c r="W314" s="95"/>
      <c r="X314" s="95"/>
      <c r="Y314" s="95"/>
      <c r="Z314" s="95"/>
    </row>
    <row r="315" ht="15.75" customHeight="1" spans="1:26">
      <c r="A315" s="95">
        <f>dados_01!A315</f>
        <v>0</v>
      </c>
      <c r="B315" s="95">
        <f>dados_01!B315</f>
        <v>0</v>
      </c>
      <c r="C315" s="95" t="str">
        <f>IFERROR(__xludf.DUMMYFUNCTION("JOIN("". "", ARRAYFORMULA(IFERROR(LEFT(SPLIT(dados_01!C315, "" ""), 1))))"),"")</f>
        <v/>
      </c>
      <c r="D315" s="95">
        <f>dados_01!D315</f>
        <v>0</v>
      </c>
      <c r="E315" s="95" t="str">
        <f>CONCATENATE(LEFT(dados_01!E315,3),REPT("*",6),RIGHT(dados_01!E315,2))</f>
        <v>******</v>
      </c>
      <c r="F315" s="95">
        <f>dados_01!F315</f>
        <v>0</v>
      </c>
      <c r="G315" s="95">
        <f>dados_01!G315</f>
        <v>0</v>
      </c>
      <c r="H315" s="95">
        <f>dados_01!H315</f>
        <v>0</v>
      </c>
      <c r="I315" s="95">
        <f>dados_01!I315</f>
        <v>0</v>
      </c>
      <c r="J315" s="95"/>
      <c r="K315" s="95"/>
      <c r="L315" s="95"/>
      <c r="M315" s="95"/>
      <c r="N315" s="95"/>
      <c r="O315" s="95"/>
      <c r="P315" s="95"/>
      <c r="Q315" s="95"/>
      <c r="R315" s="95"/>
      <c r="S315" s="95"/>
      <c r="T315" s="95"/>
      <c r="U315" s="95"/>
      <c r="V315" s="95"/>
      <c r="W315" s="95"/>
      <c r="X315" s="95"/>
      <c r="Y315" s="95"/>
      <c r="Z315" s="95"/>
    </row>
    <row r="316" ht="15.75" customHeight="1" spans="1:26">
      <c r="A316" s="95">
        <f>dados_01!A316</f>
        <v>0</v>
      </c>
      <c r="B316" s="95">
        <f>dados_01!B316</f>
        <v>0</v>
      </c>
      <c r="C316" s="95" t="str">
        <f>IFERROR(__xludf.DUMMYFUNCTION("JOIN("". "", ARRAYFORMULA(IFERROR(LEFT(SPLIT(dados_01!C316, "" ""), 1))))"),"")</f>
        <v/>
      </c>
      <c r="D316" s="95">
        <f>dados_01!D316</f>
        <v>0</v>
      </c>
      <c r="E316" s="95" t="str">
        <f>CONCATENATE(LEFT(dados_01!E316,3),REPT("*",6),RIGHT(dados_01!E316,2))</f>
        <v>******</v>
      </c>
      <c r="F316" s="95">
        <f>dados_01!F316</f>
        <v>0</v>
      </c>
      <c r="G316" s="95">
        <f>dados_01!G316</f>
        <v>0</v>
      </c>
      <c r="H316" s="95">
        <f>dados_01!H316</f>
        <v>0</v>
      </c>
      <c r="I316" s="95">
        <f>dados_01!I316</f>
        <v>0</v>
      </c>
      <c r="J316" s="95"/>
      <c r="K316" s="95"/>
      <c r="L316" s="95"/>
      <c r="M316" s="95"/>
      <c r="N316" s="95"/>
      <c r="O316" s="95"/>
      <c r="P316" s="95"/>
      <c r="Q316" s="95"/>
      <c r="R316" s="95"/>
      <c r="S316" s="95"/>
      <c r="T316" s="95"/>
      <c r="U316" s="95"/>
      <c r="V316" s="95"/>
      <c r="W316" s="95"/>
      <c r="X316" s="95"/>
      <c r="Y316" s="95"/>
      <c r="Z316" s="95"/>
    </row>
    <row r="317" ht="15.75" customHeight="1" spans="1:26">
      <c r="A317" s="95">
        <f>dados_01!A317</f>
        <v>0</v>
      </c>
      <c r="B317" s="95">
        <f>dados_01!B317</f>
        <v>0</v>
      </c>
      <c r="C317" s="95" t="str">
        <f>IFERROR(__xludf.DUMMYFUNCTION("JOIN("". "", ARRAYFORMULA(IFERROR(LEFT(SPLIT(dados_01!C317, "" ""), 1))))"),"")</f>
        <v/>
      </c>
      <c r="D317" s="95">
        <f>dados_01!D317</f>
        <v>0</v>
      </c>
      <c r="E317" s="95" t="str">
        <f>CONCATENATE(LEFT(dados_01!E317,3),REPT("*",6),RIGHT(dados_01!E317,2))</f>
        <v>******</v>
      </c>
      <c r="F317" s="95">
        <f>dados_01!F317</f>
        <v>0</v>
      </c>
      <c r="G317" s="95">
        <f>dados_01!G317</f>
        <v>0</v>
      </c>
      <c r="H317" s="95">
        <f>dados_01!H317</f>
        <v>0</v>
      </c>
      <c r="I317" s="95">
        <f>dados_01!I317</f>
        <v>0</v>
      </c>
      <c r="J317" s="95"/>
      <c r="K317" s="95"/>
      <c r="L317" s="95"/>
      <c r="M317" s="95"/>
      <c r="N317" s="95"/>
      <c r="O317" s="95"/>
      <c r="P317" s="95"/>
      <c r="Q317" s="95"/>
      <c r="R317" s="95"/>
      <c r="S317" s="95"/>
      <c r="T317" s="95"/>
      <c r="U317" s="95"/>
      <c r="V317" s="95"/>
      <c r="W317" s="95"/>
      <c r="X317" s="95"/>
      <c r="Y317" s="95"/>
      <c r="Z317" s="95"/>
    </row>
    <row r="318" ht="15.75" customHeight="1" spans="1:26">
      <c r="A318" s="95">
        <f>dados_01!A318</f>
        <v>0</v>
      </c>
      <c r="B318" s="95">
        <f>dados_01!B318</f>
        <v>0</v>
      </c>
      <c r="C318" s="95" t="str">
        <f>IFERROR(__xludf.DUMMYFUNCTION("JOIN("". "", ARRAYFORMULA(IFERROR(LEFT(SPLIT(dados_01!C318, "" ""), 1))))"),"")</f>
        <v/>
      </c>
      <c r="D318" s="95">
        <f>dados_01!D318</f>
        <v>0</v>
      </c>
      <c r="E318" s="95" t="str">
        <f>CONCATENATE(LEFT(dados_01!E318,3),REPT("*",6),RIGHT(dados_01!E318,2))</f>
        <v>******</v>
      </c>
      <c r="F318" s="95">
        <f>dados_01!F318</f>
        <v>0</v>
      </c>
      <c r="G318" s="95">
        <f>dados_01!G318</f>
        <v>0</v>
      </c>
      <c r="H318" s="95">
        <f>dados_01!H318</f>
        <v>0</v>
      </c>
      <c r="I318" s="95">
        <f>dados_01!I318</f>
        <v>0</v>
      </c>
      <c r="J318" s="95"/>
      <c r="K318" s="95"/>
      <c r="L318" s="95"/>
      <c r="M318" s="95"/>
      <c r="N318" s="95"/>
      <c r="O318" s="95"/>
      <c r="P318" s="95"/>
      <c r="Q318" s="95"/>
      <c r="R318" s="95"/>
      <c r="S318" s="95"/>
      <c r="T318" s="95"/>
      <c r="U318" s="95"/>
      <c r="V318" s="95"/>
      <c r="W318" s="95"/>
      <c r="X318" s="95"/>
      <c r="Y318" s="95"/>
      <c r="Z318" s="95"/>
    </row>
    <row r="319" ht="15.75" customHeight="1" spans="1:26">
      <c r="A319" s="95">
        <f>dados_01!A319</f>
        <v>0</v>
      </c>
      <c r="B319" s="95">
        <f>dados_01!B319</f>
        <v>0</v>
      </c>
      <c r="C319" s="95" t="str">
        <f>IFERROR(__xludf.DUMMYFUNCTION("JOIN("". "", ARRAYFORMULA(IFERROR(LEFT(SPLIT(dados_01!C319, "" ""), 1))))"),"")</f>
        <v/>
      </c>
      <c r="D319" s="95">
        <f>dados_01!D319</f>
        <v>0</v>
      </c>
      <c r="E319" s="95" t="str">
        <f>CONCATENATE(LEFT(dados_01!E319,3),REPT("*",6),RIGHT(dados_01!E319,2))</f>
        <v>******</v>
      </c>
      <c r="F319" s="95">
        <f>dados_01!F319</f>
        <v>0</v>
      </c>
      <c r="G319" s="95">
        <f>dados_01!G319</f>
        <v>0</v>
      </c>
      <c r="H319" s="95">
        <f>dados_01!H319</f>
        <v>0</v>
      </c>
      <c r="I319" s="95">
        <f>dados_01!I319</f>
        <v>0</v>
      </c>
      <c r="J319" s="95"/>
      <c r="K319" s="95"/>
      <c r="L319" s="95"/>
      <c r="M319" s="95"/>
      <c r="N319" s="95"/>
      <c r="O319" s="95"/>
      <c r="P319" s="95"/>
      <c r="Q319" s="95"/>
      <c r="R319" s="95"/>
      <c r="S319" s="95"/>
      <c r="T319" s="95"/>
      <c r="U319" s="95"/>
      <c r="V319" s="95"/>
      <c r="W319" s="95"/>
      <c r="X319" s="95"/>
      <c r="Y319" s="95"/>
      <c r="Z319" s="95"/>
    </row>
    <row r="320" ht="15.75" customHeight="1" spans="1:26">
      <c r="A320" s="95">
        <f>dados_01!A320</f>
        <v>0</v>
      </c>
      <c r="B320" s="95">
        <f>dados_01!B320</f>
        <v>0</v>
      </c>
      <c r="C320" s="95" t="str">
        <f>IFERROR(__xludf.DUMMYFUNCTION("JOIN("". "", ARRAYFORMULA(IFERROR(LEFT(SPLIT(dados_01!C320, "" ""), 1))))"),"")</f>
        <v/>
      </c>
      <c r="D320" s="95">
        <f>dados_01!D320</f>
        <v>0</v>
      </c>
      <c r="E320" s="95" t="str">
        <f>CONCATENATE(LEFT(dados_01!E320,3),REPT("*",6),RIGHT(dados_01!E320,2))</f>
        <v>******</v>
      </c>
      <c r="F320" s="95">
        <f>dados_01!F320</f>
        <v>0</v>
      </c>
      <c r="G320" s="95">
        <f>dados_01!G320</f>
        <v>0</v>
      </c>
      <c r="H320" s="95">
        <f>dados_01!H320</f>
        <v>0</v>
      </c>
      <c r="I320" s="95">
        <f>dados_01!I320</f>
        <v>0</v>
      </c>
      <c r="J320" s="95"/>
      <c r="K320" s="95"/>
      <c r="L320" s="95"/>
      <c r="M320" s="95"/>
      <c r="N320" s="95"/>
      <c r="O320" s="95"/>
      <c r="P320" s="95"/>
      <c r="Q320" s="95"/>
      <c r="R320" s="95"/>
      <c r="S320" s="95"/>
      <c r="T320" s="95"/>
      <c r="U320" s="95"/>
      <c r="V320" s="95"/>
      <c r="W320" s="95"/>
      <c r="X320" s="95"/>
      <c r="Y320" s="95"/>
      <c r="Z320" s="95"/>
    </row>
    <row r="321" ht="15.75" customHeight="1" spans="1:26">
      <c r="A321" s="95">
        <f>dados_01!A321</f>
        <v>0</v>
      </c>
      <c r="B321" s="95">
        <f>dados_01!B321</f>
        <v>0</v>
      </c>
      <c r="C321" s="95" t="str">
        <f>IFERROR(__xludf.DUMMYFUNCTION("JOIN("". "", ARRAYFORMULA(IFERROR(LEFT(SPLIT(dados_01!C321, "" ""), 1))))"),"")</f>
        <v/>
      </c>
      <c r="D321" s="95">
        <f>dados_01!D321</f>
        <v>0</v>
      </c>
      <c r="E321" s="95" t="str">
        <f>CONCATENATE(LEFT(dados_01!E321,3),REPT("*",6),RIGHT(dados_01!E321,2))</f>
        <v>******</v>
      </c>
      <c r="F321" s="95">
        <f>dados_01!F321</f>
        <v>0</v>
      </c>
      <c r="G321" s="95">
        <f>dados_01!G321</f>
        <v>0</v>
      </c>
      <c r="H321" s="95">
        <f>dados_01!H321</f>
        <v>0</v>
      </c>
      <c r="I321" s="95">
        <f>dados_01!I321</f>
        <v>0</v>
      </c>
      <c r="J321" s="95"/>
      <c r="K321" s="95"/>
      <c r="L321" s="95"/>
      <c r="M321" s="95"/>
      <c r="N321" s="95"/>
      <c r="O321" s="95"/>
      <c r="P321" s="95"/>
      <c r="Q321" s="95"/>
      <c r="R321" s="95"/>
      <c r="S321" s="95"/>
      <c r="T321" s="95"/>
      <c r="U321" s="95"/>
      <c r="V321" s="95"/>
      <c r="W321" s="95"/>
      <c r="X321" s="95"/>
      <c r="Y321" s="95"/>
      <c r="Z321" s="95"/>
    </row>
    <row r="322" ht="15.75" customHeight="1" spans="1:26">
      <c r="A322" s="95">
        <f>dados_01!A322</f>
        <v>0</v>
      </c>
      <c r="B322" s="95">
        <f>dados_01!B322</f>
        <v>0</v>
      </c>
      <c r="C322" s="95" t="str">
        <f>IFERROR(__xludf.DUMMYFUNCTION("JOIN("". "", ARRAYFORMULA(IFERROR(LEFT(SPLIT(dados_01!C322, "" ""), 1))))"),"")</f>
        <v/>
      </c>
      <c r="D322" s="95">
        <f>dados_01!D322</f>
        <v>0</v>
      </c>
      <c r="E322" s="95" t="str">
        <f>CONCATENATE(LEFT(dados_01!E322,3),REPT("*",6),RIGHT(dados_01!E322,2))</f>
        <v>******</v>
      </c>
      <c r="F322" s="95">
        <f>dados_01!F322</f>
        <v>0</v>
      </c>
      <c r="G322" s="95">
        <f>dados_01!G322</f>
        <v>0</v>
      </c>
      <c r="H322" s="95">
        <f>dados_01!H322</f>
        <v>0</v>
      </c>
      <c r="I322" s="95">
        <f>dados_01!I322</f>
        <v>0</v>
      </c>
      <c r="J322" s="95"/>
      <c r="K322" s="95"/>
      <c r="L322" s="95"/>
      <c r="M322" s="95"/>
      <c r="N322" s="95"/>
      <c r="O322" s="95"/>
      <c r="P322" s="95"/>
      <c r="Q322" s="95"/>
      <c r="R322" s="95"/>
      <c r="S322" s="95"/>
      <c r="T322" s="95"/>
      <c r="U322" s="95"/>
      <c r="V322" s="95"/>
      <c r="W322" s="95"/>
      <c r="X322" s="95"/>
      <c r="Y322" s="95"/>
      <c r="Z322" s="95"/>
    </row>
    <row r="323" ht="15.75" customHeight="1" spans="1:26">
      <c r="A323" s="95">
        <f>dados_01!A323</f>
        <v>0</v>
      </c>
      <c r="B323" s="95">
        <f>dados_01!B323</f>
        <v>0</v>
      </c>
      <c r="C323" s="95" t="str">
        <f>IFERROR(__xludf.DUMMYFUNCTION("JOIN("". "", ARRAYFORMULA(IFERROR(LEFT(SPLIT(dados_01!C323, "" ""), 1))))"),"")</f>
        <v/>
      </c>
      <c r="D323" s="95">
        <f>dados_01!D323</f>
        <v>0</v>
      </c>
      <c r="E323" s="95" t="str">
        <f>CONCATENATE(LEFT(dados_01!E323,3),REPT("*",6),RIGHT(dados_01!E323,2))</f>
        <v>******</v>
      </c>
      <c r="F323" s="95">
        <f>dados_01!F323</f>
        <v>0</v>
      </c>
      <c r="G323" s="95">
        <f>dados_01!G323</f>
        <v>0</v>
      </c>
      <c r="H323" s="95">
        <f>dados_01!H323</f>
        <v>0</v>
      </c>
      <c r="I323" s="95">
        <f>dados_01!I323</f>
        <v>0</v>
      </c>
      <c r="J323" s="95"/>
      <c r="K323" s="95"/>
      <c r="L323" s="95"/>
      <c r="M323" s="95"/>
      <c r="N323" s="95"/>
      <c r="O323" s="95"/>
      <c r="P323" s="95"/>
      <c r="Q323" s="95"/>
      <c r="R323" s="95"/>
      <c r="S323" s="95"/>
      <c r="T323" s="95"/>
      <c r="U323" s="95"/>
      <c r="V323" s="95"/>
      <c r="W323" s="95"/>
      <c r="X323" s="95"/>
      <c r="Y323" s="95"/>
      <c r="Z323" s="95"/>
    </row>
    <row r="324" ht="15.75" customHeight="1" spans="1:26">
      <c r="A324" s="95">
        <f>dados_01!A324</f>
        <v>0</v>
      </c>
      <c r="B324" s="95">
        <f>dados_01!B324</f>
        <v>0</v>
      </c>
      <c r="C324" s="95" t="str">
        <f>IFERROR(__xludf.DUMMYFUNCTION("JOIN("". "", ARRAYFORMULA(IFERROR(LEFT(SPLIT(dados_01!C324, "" ""), 1))))"),"")</f>
        <v/>
      </c>
      <c r="D324" s="95">
        <f>dados_01!D324</f>
        <v>0</v>
      </c>
      <c r="E324" s="95" t="str">
        <f>CONCATENATE(LEFT(dados_01!E324,3),REPT("*",6),RIGHT(dados_01!E324,2))</f>
        <v>******</v>
      </c>
      <c r="F324" s="95">
        <f>dados_01!F324</f>
        <v>0</v>
      </c>
      <c r="G324" s="95">
        <f>dados_01!G324</f>
        <v>0</v>
      </c>
      <c r="H324" s="95">
        <f>dados_01!H324</f>
        <v>0</v>
      </c>
      <c r="I324" s="95">
        <f>dados_01!I324</f>
        <v>0</v>
      </c>
      <c r="J324" s="95"/>
      <c r="K324" s="95"/>
      <c r="L324" s="95"/>
      <c r="M324" s="95"/>
      <c r="N324" s="95"/>
      <c r="O324" s="95"/>
      <c r="P324" s="95"/>
      <c r="Q324" s="95"/>
      <c r="R324" s="95"/>
      <c r="S324" s="95"/>
      <c r="T324" s="95"/>
      <c r="U324" s="95"/>
      <c r="V324" s="95"/>
      <c r="W324" s="95"/>
      <c r="X324" s="95"/>
      <c r="Y324" s="95"/>
      <c r="Z324" s="95"/>
    </row>
    <row r="325" ht="15.75" customHeight="1" spans="1:26">
      <c r="A325" s="95">
        <f>dados_01!A325</f>
        <v>0</v>
      </c>
      <c r="B325" s="95">
        <f>dados_01!B325</f>
        <v>0</v>
      </c>
      <c r="C325" s="95" t="str">
        <f>IFERROR(__xludf.DUMMYFUNCTION("JOIN("". "", ARRAYFORMULA(IFERROR(LEFT(SPLIT(dados_01!C325, "" ""), 1))))"),"")</f>
        <v/>
      </c>
      <c r="D325" s="95">
        <f>dados_01!D325</f>
        <v>0</v>
      </c>
      <c r="E325" s="95" t="str">
        <f>CONCATENATE(LEFT(dados_01!E325,3),REPT("*",6),RIGHT(dados_01!E325,2))</f>
        <v>******</v>
      </c>
      <c r="F325" s="95">
        <f>dados_01!F325</f>
        <v>0</v>
      </c>
      <c r="G325" s="95">
        <f>dados_01!G325</f>
        <v>0</v>
      </c>
      <c r="H325" s="95">
        <f>dados_01!H325</f>
        <v>0</v>
      </c>
      <c r="I325" s="95">
        <f>dados_01!I325</f>
        <v>0</v>
      </c>
      <c r="J325" s="95"/>
      <c r="K325" s="95"/>
      <c r="L325" s="95"/>
      <c r="M325" s="95"/>
      <c r="N325" s="95"/>
      <c r="O325" s="95"/>
      <c r="P325" s="95"/>
      <c r="Q325" s="95"/>
      <c r="R325" s="95"/>
      <c r="S325" s="95"/>
      <c r="T325" s="95"/>
      <c r="U325" s="95"/>
      <c r="V325" s="95"/>
      <c r="W325" s="95"/>
      <c r="X325" s="95"/>
      <c r="Y325" s="95"/>
      <c r="Z325" s="95"/>
    </row>
    <row r="326" ht="15.75" customHeight="1" spans="1:26">
      <c r="A326" s="95">
        <f>dados_01!A326</f>
        <v>0</v>
      </c>
      <c r="B326" s="95">
        <f>dados_01!B326</f>
        <v>0</v>
      </c>
      <c r="C326" s="95" t="str">
        <f>IFERROR(__xludf.DUMMYFUNCTION("JOIN("". "", ARRAYFORMULA(IFERROR(LEFT(SPLIT(dados_01!C326, "" ""), 1))))"),"")</f>
        <v/>
      </c>
      <c r="D326" s="95">
        <f>dados_01!D326</f>
        <v>0</v>
      </c>
      <c r="E326" s="95" t="str">
        <f>CONCATENATE(LEFT(dados_01!E326,3),REPT("*",6),RIGHT(dados_01!E326,2))</f>
        <v>******</v>
      </c>
      <c r="F326" s="95">
        <f>dados_01!F326</f>
        <v>0</v>
      </c>
      <c r="G326" s="95">
        <f>dados_01!G326</f>
        <v>0</v>
      </c>
      <c r="H326" s="95">
        <f>dados_01!H326</f>
        <v>0</v>
      </c>
      <c r="I326" s="95">
        <f>dados_01!I326</f>
        <v>0</v>
      </c>
      <c r="J326" s="95"/>
      <c r="K326" s="95"/>
      <c r="L326" s="95"/>
      <c r="M326" s="95"/>
      <c r="N326" s="95"/>
      <c r="O326" s="95"/>
      <c r="P326" s="95"/>
      <c r="Q326" s="95"/>
      <c r="R326" s="95"/>
      <c r="S326" s="95"/>
      <c r="T326" s="95"/>
      <c r="U326" s="95"/>
      <c r="V326" s="95"/>
      <c r="W326" s="95"/>
      <c r="X326" s="95"/>
      <c r="Y326" s="95"/>
      <c r="Z326" s="95"/>
    </row>
    <row r="327" ht="15.75" customHeight="1" spans="1:26">
      <c r="A327" s="95">
        <f>dados_01!A327</f>
        <v>0</v>
      </c>
      <c r="B327" s="95">
        <f>dados_01!B327</f>
        <v>0</v>
      </c>
      <c r="C327" s="95" t="str">
        <f>IFERROR(__xludf.DUMMYFUNCTION("JOIN("". "", ARRAYFORMULA(IFERROR(LEFT(SPLIT(dados_01!C327, "" ""), 1))))"),"")</f>
        <v/>
      </c>
      <c r="D327" s="95">
        <f>dados_01!D327</f>
        <v>0</v>
      </c>
      <c r="E327" s="95" t="str">
        <f>CONCATENATE(LEFT(dados_01!E327,3),REPT("*",6),RIGHT(dados_01!E327,2))</f>
        <v>******</v>
      </c>
      <c r="F327" s="95">
        <f>dados_01!F327</f>
        <v>0</v>
      </c>
      <c r="G327" s="95">
        <f>dados_01!G327</f>
        <v>0</v>
      </c>
      <c r="H327" s="95">
        <f>dados_01!H327</f>
        <v>0</v>
      </c>
      <c r="I327" s="95">
        <f>dados_01!I327</f>
        <v>0</v>
      </c>
      <c r="J327" s="95"/>
      <c r="K327" s="95"/>
      <c r="L327" s="95"/>
      <c r="M327" s="95"/>
      <c r="N327" s="95"/>
      <c r="O327" s="95"/>
      <c r="P327" s="95"/>
      <c r="Q327" s="95"/>
      <c r="R327" s="95"/>
      <c r="S327" s="95"/>
      <c r="T327" s="95"/>
      <c r="U327" s="95"/>
      <c r="V327" s="95"/>
      <c r="W327" s="95"/>
      <c r="X327" s="95"/>
      <c r="Y327" s="95"/>
      <c r="Z327" s="95"/>
    </row>
    <row r="328" ht="15.75" customHeight="1" spans="1:26">
      <c r="A328" s="95">
        <f>dados_01!A328</f>
        <v>0</v>
      </c>
      <c r="B328" s="95">
        <f>dados_01!B328</f>
        <v>0</v>
      </c>
      <c r="C328" s="95" t="str">
        <f>IFERROR(__xludf.DUMMYFUNCTION("JOIN("". "", ARRAYFORMULA(IFERROR(LEFT(SPLIT(dados_01!C328, "" ""), 1))))"),"")</f>
        <v/>
      </c>
      <c r="D328" s="95">
        <f>dados_01!D328</f>
        <v>0</v>
      </c>
      <c r="E328" s="95" t="str">
        <f>CONCATENATE(LEFT(dados_01!E328,3),REPT("*",6),RIGHT(dados_01!E328,2))</f>
        <v>******</v>
      </c>
      <c r="F328" s="95">
        <f>dados_01!F328</f>
        <v>0</v>
      </c>
      <c r="G328" s="95">
        <f>dados_01!G328</f>
        <v>0</v>
      </c>
      <c r="H328" s="95">
        <f>dados_01!H328</f>
        <v>0</v>
      </c>
      <c r="I328" s="95">
        <f>dados_01!I328</f>
        <v>0</v>
      </c>
      <c r="J328" s="95"/>
      <c r="K328" s="95"/>
      <c r="L328" s="95"/>
      <c r="M328" s="95"/>
      <c r="N328" s="95"/>
      <c r="O328" s="95"/>
      <c r="P328" s="95"/>
      <c r="Q328" s="95"/>
      <c r="R328" s="95"/>
      <c r="S328" s="95"/>
      <c r="T328" s="95"/>
      <c r="U328" s="95"/>
      <c r="V328" s="95"/>
      <c r="W328" s="95"/>
      <c r="X328" s="95"/>
      <c r="Y328" s="95"/>
      <c r="Z328" s="95"/>
    </row>
    <row r="329" ht="15.75" customHeight="1" spans="1:26">
      <c r="A329" s="95">
        <f>dados_01!A329</f>
        <v>0</v>
      </c>
      <c r="B329" s="95">
        <f>dados_01!B329</f>
        <v>0</v>
      </c>
      <c r="C329" s="95" t="str">
        <f>IFERROR(__xludf.DUMMYFUNCTION("JOIN("". "", ARRAYFORMULA(IFERROR(LEFT(SPLIT(dados_01!C329, "" ""), 1))))"),"")</f>
        <v/>
      </c>
      <c r="D329" s="95">
        <f>dados_01!D329</f>
        <v>0</v>
      </c>
      <c r="E329" s="95" t="str">
        <f>CONCATENATE(LEFT(dados_01!E329,3),REPT("*",6),RIGHT(dados_01!E329,2))</f>
        <v>******</v>
      </c>
      <c r="F329" s="95">
        <f>dados_01!F329</f>
        <v>0</v>
      </c>
      <c r="G329" s="95">
        <f>dados_01!G329</f>
        <v>0</v>
      </c>
      <c r="H329" s="95">
        <f>dados_01!H329</f>
        <v>0</v>
      </c>
      <c r="I329" s="95">
        <f>dados_01!I329</f>
        <v>0</v>
      </c>
      <c r="J329" s="95"/>
      <c r="K329" s="95"/>
      <c r="L329" s="95"/>
      <c r="M329" s="95"/>
      <c r="N329" s="95"/>
      <c r="O329" s="95"/>
      <c r="P329" s="95"/>
      <c r="Q329" s="95"/>
      <c r="R329" s="95"/>
      <c r="S329" s="95"/>
      <c r="T329" s="95"/>
      <c r="U329" s="95"/>
      <c r="V329" s="95"/>
      <c r="W329" s="95"/>
      <c r="X329" s="95"/>
      <c r="Y329" s="95"/>
      <c r="Z329" s="95"/>
    </row>
    <row r="330" ht="15.75" customHeight="1" spans="1:26">
      <c r="A330" s="95">
        <f>dados_01!A330</f>
        <v>0</v>
      </c>
      <c r="B330" s="95">
        <f>dados_01!B330</f>
        <v>0</v>
      </c>
      <c r="C330" s="95" t="str">
        <f>IFERROR(__xludf.DUMMYFUNCTION("JOIN("". "", ARRAYFORMULA(IFERROR(LEFT(SPLIT(dados_01!C330, "" ""), 1))))"),"")</f>
        <v/>
      </c>
      <c r="D330" s="95">
        <f>dados_01!D330</f>
        <v>0</v>
      </c>
      <c r="E330" s="95" t="str">
        <f>CONCATENATE(LEFT(dados_01!E330,3),REPT("*",6),RIGHT(dados_01!E330,2))</f>
        <v>******</v>
      </c>
      <c r="F330" s="95">
        <f>dados_01!F330</f>
        <v>0</v>
      </c>
      <c r="G330" s="95">
        <f>dados_01!G330</f>
        <v>0</v>
      </c>
      <c r="H330" s="95">
        <f>dados_01!H330</f>
        <v>0</v>
      </c>
      <c r="I330" s="95">
        <f>dados_01!I330</f>
        <v>0</v>
      </c>
      <c r="J330" s="95"/>
      <c r="K330" s="95"/>
      <c r="L330" s="95"/>
      <c r="M330" s="95"/>
      <c r="N330" s="95"/>
      <c r="O330" s="95"/>
      <c r="P330" s="95"/>
      <c r="Q330" s="95"/>
      <c r="R330" s="95"/>
      <c r="S330" s="95"/>
      <c r="T330" s="95"/>
      <c r="U330" s="95"/>
      <c r="V330" s="95"/>
      <c r="W330" s="95"/>
      <c r="X330" s="95"/>
      <c r="Y330" s="95"/>
      <c r="Z330" s="95"/>
    </row>
    <row r="331" ht="15.75" customHeight="1" spans="1:26">
      <c r="A331" s="95">
        <f>dados_01!A331</f>
        <v>0</v>
      </c>
      <c r="B331" s="95">
        <f>dados_01!B331</f>
        <v>0</v>
      </c>
      <c r="C331" s="95" t="str">
        <f>IFERROR(__xludf.DUMMYFUNCTION("JOIN("". "", ARRAYFORMULA(IFERROR(LEFT(SPLIT(dados_01!C331, "" ""), 1))))"),"")</f>
        <v/>
      </c>
      <c r="D331" s="95">
        <f>dados_01!D331</f>
        <v>0</v>
      </c>
      <c r="E331" s="95" t="str">
        <f>CONCATENATE(LEFT(dados_01!E331,3),REPT("*",6),RIGHT(dados_01!E331,2))</f>
        <v>******</v>
      </c>
      <c r="F331" s="95">
        <f>dados_01!F331</f>
        <v>0</v>
      </c>
      <c r="G331" s="95">
        <f>dados_01!G331</f>
        <v>0</v>
      </c>
      <c r="H331" s="95">
        <f>dados_01!H331</f>
        <v>0</v>
      </c>
      <c r="I331" s="95">
        <f>dados_01!I331</f>
        <v>0</v>
      </c>
      <c r="J331" s="95"/>
      <c r="K331" s="95"/>
      <c r="L331" s="95"/>
      <c r="M331" s="95"/>
      <c r="N331" s="95"/>
      <c r="O331" s="95"/>
      <c r="P331" s="95"/>
      <c r="Q331" s="95"/>
      <c r="R331" s="95"/>
      <c r="S331" s="95"/>
      <c r="T331" s="95"/>
      <c r="U331" s="95"/>
      <c r="V331" s="95"/>
      <c r="W331" s="95"/>
      <c r="X331" s="95"/>
      <c r="Y331" s="95"/>
      <c r="Z331" s="95"/>
    </row>
    <row r="332" ht="15.75" customHeight="1" spans="1:26">
      <c r="A332" s="95">
        <f>dados_01!A332</f>
        <v>0</v>
      </c>
      <c r="B332" s="95">
        <f>dados_01!B332</f>
        <v>0</v>
      </c>
      <c r="C332" s="95" t="str">
        <f>IFERROR(__xludf.DUMMYFUNCTION("JOIN("". "", ARRAYFORMULA(IFERROR(LEFT(SPLIT(dados_01!C332, "" ""), 1))))"),"")</f>
        <v/>
      </c>
      <c r="D332" s="95">
        <f>dados_01!D332</f>
        <v>0</v>
      </c>
      <c r="E332" s="95" t="str">
        <f>CONCATENATE(LEFT(dados_01!E332,3),REPT("*",6),RIGHT(dados_01!E332,2))</f>
        <v>******</v>
      </c>
      <c r="F332" s="95">
        <f>dados_01!F332</f>
        <v>0</v>
      </c>
      <c r="G332" s="95">
        <f>dados_01!G332</f>
        <v>0</v>
      </c>
      <c r="H332" s="95">
        <f>dados_01!H332</f>
        <v>0</v>
      </c>
      <c r="I332" s="95">
        <f>dados_01!I332</f>
        <v>0</v>
      </c>
      <c r="J332" s="95"/>
      <c r="K332" s="95"/>
      <c r="L332" s="95"/>
      <c r="M332" s="95"/>
      <c r="N332" s="95"/>
      <c r="O332" s="95"/>
      <c r="P332" s="95"/>
      <c r="Q332" s="95"/>
      <c r="R332" s="95"/>
      <c r="S332" s="95"/>
      <c r="T332" s="95"/>
      <c r="U332" s="95"/>
      <c r="V332" s="95"/>
      <c r="W332" s="95"/>
      <c r="X332" s="95"/>
      <c r="Y332" s="95"/>
      <c r="Z332" s="95"/>
    </row>
    <row r="333" ht="15.75" customHeight="1" spans="1:26">
      <c r="A333" s="95">
        <f>dados_01!A333</f>
        <v>0</v>
      </c>
      <c r="B333" s="95">
        <f>dados_01!B333</f>
        <v>0</v>
      </c>
      <c r="C333" s="95" t="str">
        <f>IFERROR(__xludf.DUMMYFUNCTION("JOIN("". "", ARRAYFORMULA(IFERROR(LEFT(SPLIT(dados_01!C333, "" ""), 1))))"),"")</f>
        <v/>
      </c>
      <c r="D333" s="95">
        <f>dados_01!D333</f>
        <v>0</v>
      </c>
      <c r="E333" s="95" t="str">
        <f>CONCATENATE(LEFT(dados_01!E333,3),REPT("*",6),RIGHT(dados_01!E333,2))</f>
        <v>******</v>
      </c>
      <c r="F333" s="95">
        <f>dados_01!F333</f>
        <v>0</v>
      </c>
      <c r="G333" s="95">
        <f>dados_01!G333</f>
        <v>0</v>
      </c>
      <c r="H333" s="95">
        <f>dados_01!H333</f>
        <v>0</v>
      </c>
      <c r="I333" s="95">
        <f>dados_01!I333</f>
        <v>0</v>
      </c>
      <c r="J333" s="95"/>
      <c r="K333" s="95"/>
      <c r="L333" s="95"/>
      <c r="M333" s="95"/>
      <c r="N333" s="95"/>
      <c r="O333" s="95"/>
      <c r="P333" s="95"/>
      <c r="Q333" s="95"/>
      <c r="R333" s="95"/>
      <c r="S333" s="95"/>
      <c r="T333" s="95"/>
      <c r="U333" s="95"/>
      <c r="V333" s="95"/>
      <c r="W333" s="95"/>
      <c r="X333" s="95"/>
      <c r="Y333" s="95"/>
      <c r="Z333" s="95"/>
    </row>
    <row r="334" ht="15.75" customHeight="1" spans="1:26">
      <c r="A334" s="95">
        <f>dados_01!A334</f>
        <v>0</v>
      </c>
      <c r="B334" s="95">
        <f>dados_01!B334</f>
        <v>0</v>
      </c>
      <c r="C334" s="95" t="str">
        <f>IFERROR(__xludf.DUMMYFUNCTION("JOIN("". "", ARRAYFORMULA(IFERROR(LEFT(SPLIT(dados_01!C334, "" ""), 1))))"),"")</f>
        <v/>
      </c>
      <c r="D334" s="95">
        <f>dados_01!D334</f>
        <v>0</v>
      </c>
      <c r="E334" s="95" t="str">
        <f>CONCATENATE(LEFT(dados_01!E334,3),REPT("*",6),RIGHT(dados_01!E334,2))</f>
        <v>******</v>
      </c>
      <c r="F334" s="95">
        <f>dados_01!F334</f>
        <v>0</v>
      </c>
      <c r="G334" s="95">
        <f>dados_01!G334</f>
        <v>0</v>
      </c>
      <c r="H334" s="95">
        <f>dados_01!H334</f>
        <v>0</v>
      </c>
      <c r="I334" s="95">
        <f>dados_01!I334</f>
        <v>0</v>
      </c>
      <c r="J334" s="95"/>
      <c r="K334" s="95"/>
      <c r="L334" s="95"/>
      <c r="M334" s="95"/>
      <c r="N334" s="95"/>
      <c r="O334" s="95"/>
      <c r="P334" s="95"/>
      <c r="Q334" s="95"/>
      <c r="R334" s="95"/>
      <c r="S334" s="95"/>
      <c r="T334" s="95"/>
      <c r="U334" s="95"/>
      <c r="V334" s="95"/>
      <c r="W334" s="95"/>
      <c r="X334" s="95"/>
      <c r="Y334" s="95"/>
      <c r="Z334" s="95"/>
    </row>
    <row r="335" ht="15.75" customHeight="1" spans="1:26">
      <c r="A335" s="95">
        <f>dados_01!A335</f>
        <v>0</v>
      </c>
      <c r="B335" s="95">
        <f>dados_01!B335</f>
        <v>0</v>
      </c>
      <c r="C335" s="95" t="str">
        <f>IFERROR(__xludf.DUMMYFUNCTION("JOIN("". "", ARRAYFORMULA(IFERROR(LEFT(SPLIT(dados_01!C335, "" ""), 1))))"),"")</f>
        <v/>
      </c>
      <c r="D335" s="95">
        <f>dados_01!D335</f>
        <v>0</v>
      </c>
      <c r="E335" s="95" t="str">
        <f>CONCATENATE(LEFT(dados_01!E335,3),REPT("*",6),RIGHT(dados_01!E335,2))</f>
        <v>******</v>
      </c>
      <c r="F335" s="95">
        <f>dados_01!F335</f>
        <v>0</v>
      </c>
      <c r="G335" s="95">
        <f>dados_01!G335</f>
        <v>0</v>
      </c>
      <c r="H335" s="95">
        <f>dados_01!H335</f>
        <v>0</v>
      </c>
      <c r="I335" s="95">
        <f>dados_01!I335</f>
        <v>0</v>
      </c>
      <c r="J335" s="95"/>
      <c r="K335" s="95"/>
      <c r="L335" s="95"/>
      <c r="M335" s="95"/>
      <c r="N335" s="95"/>
      <c r="O335" s="95"/>
      <c r="P335" s="95"/>
      <c r="Q335" s="95"/>
      <c r="R335" s="95"/>
      <c r="S335" s="95"/>
      <c r="T335" s="95"/>
      <c r="U335" s="95"/>
      <c r="V335" s="95"/>
      <c r="W335" s="95"/>
      <c r="X335" s="95"/>
      <c r="Y335" s="95"/>
      <c r="Z335" s="95"/>
    </row>
    <row r="336" ht="15.75" customHeight="1" spans="1:26">
      <c r="A336" s="95">
        <f>dados_01!A336</f>
        <v>0</v>
      </c>
      <c r="B336" s="95">
        <f>dados_01!B336</f>
        <v>0</v>
      </c>
      <c r="C336" s="95" t="str">
        <f>IFERROR(__xludf.DUMMYFUNCTION("JOIN("". "", ARRAYFORMULA(IFERROR(LEFT(SPLIT(dados_01!C336, "" ""), 1))))"),"")</f>
        <v/>
      </c>
      <c r="D336" s="95">
        <f>dados_01!D336</f>
        <v>0</v>
      </c>
      <c r="E336" s="95" t="str">
        <f>CONCATENATE(LEFT(dados_01!E336,3),REPT("*",6),RIGHT(dados_01!E336,2))</f>
        <v>******</v>
      </c>
      <c r="F336" s="95">
        <f>dados_01!F336</f>
        <v>0</v>
      </c>
      <c r="G336" s="95">
        <f>dados_01!G336</f>
        <v>0</v>
      </c>
      <c r="H336" s="95">
        <f>dados_01!H336</f>
        <v>0</v>
      </c>
      <c r="I336" s="95">
        <f>dados_01!I336</f>
        <v>0</v>
      </c>
      <c r="J336" s="95"/>
      <c r="K336" s="95"/>
      <c r="L336" s="95"/>
      <c r="M336" s="95"/>
      <c r="N336" s="95"/>
      <c r="O336" s="95"/>
      <c r="P336" s="95"/>
      <c r="Q336" s="95"/>
      <c r="R336" s="95"/>
      <c r="S336" s="95"/>
      <c r="T336" s="95"/>
      <c r="U336" s="95"/>
      <c r="V336" s="95"/>
      <c r="W336" s="95"/>
      <c r="X336" s="95"/>
      <c r="Y336" s="95"/>
      <c r="Z336" s="95"/>
    </row>
    <row r="337" ht="15.75" customHeight="1" spans="1:26">
      <c r="A337" s="95">
        <f>dados_01!A337</f>
        <v>0</v>
      </c>
      <c r="B337" s="95">
        <f>dados_01!B337</f>
        <v>0</v>
      </c>
      <c r="C337" s="95" t="str">
        <f>IFERROR(__xludf.DUMMYFUNCTION("JOIN("". "", ARRAYFORMULA(IFERROR(LEFT(SPLIT(dados_01!C337, "" ""), 1))))"),"")</f>
        <v/>
      </c>
      <c r="D337" s="95">
        <f>dados_01!D337</f>
        <v>0</v>
      </c>
      <c r="E337" s="95" t="str">
        <f>CONCATENATE(LEFT(dados_01!E337,3),REPT("*",6),RIGHT(dados_01!E337,2))</f>
        <v>******</v>
      </c>
      <c r="F337" s="95">
        <f>dados_01!F337</f>
        <v>0</v>
      </c>
      <c r="G337" s="95">
        <f>dados_01!G337</f>
        <v>0</v>
      </c>
      <c r="H337" s="95">
        <f>dados_01!H337</f>
        <v>0</v>
      </c>
      <c r="I337" s="95">
        <f>dados_01!I337</f>
        <v>0</v>
      </c>
      <c r="J337" s="95"/>
      <c r="K337" s="95"/>
      <c r="L337" s="95"/>
      <c r="M337" s="95"/>
      <c r="N337" s="95"/>
      <c r="O337" s="95"/>
      <c r="P337" s="95"/>
      <c r="Q337" s="95"/>
      <c r="R337" s="95"/>
      <c r="S337" s="95"/>
      <c r="T337" s="95"/>
      <c r="U337" s="95"/>
      <c r="V337" s="95"/>
      <c r="W337" s="95"/>
      <c r="X337" s="95"/>
      <c r="Y337" s="95"/>
      <c r="Z337" s="95"/>
    </row>
    <row r="338" ht="15.75" customHeight="1" spans="1:26">
      <c r="A338" s="95">
        <f>dados_01!A338</f>
        <v>0</v>
      </c>
      <c r="B338" s="95">
        <f>dados_01!B338</f>
        <v>0</v>
      </c>
      <c r="C338" s="95" t="str">
        <f>IFERROR(__xludf.DUMMYFUNCTION("JOIN("". "", ARRAYFORMULA(IFERROR(LEFT(SPLIT(dados_01!C338, "" ""), 1))))"),"")</f>
        <v/>
      </c>
      <c r="D338" s="95">
        <f>dados_01!D338</f>
        <v>0</v>
      </c>
      <c r="E338" s="95" t="str">
        <f>CONCATENATE(LEFT(dados_01!E338,3),REPT("*",6),RIGHT(dados_01!E338,2))</f>
        <v>******</v>
      </c>
      <c r="F338" s="95">
        <f>dados_01!F338</f>
        <v>0</v>
      </c>
      <c r="G338" s="95">
        <f>dados_01!G338</f>
        <v>0</v>
      </c>
      <c r="H338" s="95">
        <f>dados_01!H338</f>
        <v>0</v>
      </c>
      <c r="I338" s="95">
        <f>dados_01!I338</f>
        <v>0</v>
      </c>
      <c r="J338" s="95"/>
      <c r="K338" s="95"/>
      <c r="L338" s="95"/>
      <c r="M338" s="95"/>
      <c r="N338" s="95"/>
      <c r="O338" s="95"/>
      <c r="P338" s="95"/>
      <c r="Q338" s="95"/>
      <c r="R338" s="95"/>
      <c r="S338" s="95"/>
      <c r="T338" s="95"/>
      <c r="U338" s="95"/>
      <c r="V338" s="95"/>
      <c r="W338" s="95"/>
      <c r="X338" s="95"/>
      <c r="Y338" s="95"/>
      <c r="Z338" s="95"/>
    </row>
    <row r="339" ht="15.75" customHeight="1" spans="1:26">
      <c r="A339" s="95">
        <f>dados_01!A339</f>
        <v>0</v>
      </c>
      <c r="B339" s="95">
        <f>dados_01!B339</f>
        <v>0</v>
      </c>
      <c r="C339" s="95" t="str">
        <f>IFERROR(__xludf.DUMMYFUNCTION("JOIN("". "", ARRAYFORMULA(IFERROR(LEFT(SPLIT(dados_01!C339, "" ""), 1))))"),"")</f>
        <v/>
      </c>
      <c r="D339" s="95">
        <f>dados_01!D339</f>
        <v>0</v>
      </c>
      <c r="E339" s="95" t="str">
        <f>CONCATENATE(LEFT(dados_01!E339,3),REPT("*",6),RIGHT(dados_01!E339,2))</f>
        <v>******</v>
      </c>
      <c r="F339" s="95">
        <f>dados_01!F339</f>
        <v>0</v>
      </c>
      <c r="G339" s="95">
        <f>dados_01!G339</f>
        <v>0</v>
      </c>
      <c r="H339" s="95">
        <f>dados_01!H339</f>
        <v>0</v>
      </c>
      <c r="I339" s="95">
        <f>dados_01!I339</f>
        <v>0</v>
      </c>
      <c r="J339" s="95"/>
      <c r="K339" s="95"/>
      <c r="L339" s="95"/>
      <c r="M339" s="95"/>
      <c r="N339" s="95"/>
      <c r="O339" s="95"/>
      <c r="P339" s="95"/>
      <c r="Q339" s="95"/>
      <c r="R339" s="95"/>
      <c r="S339" s="95"/>
      <c r="T339" s="95"/>
      <c r="U339" s="95"/>
      <c r="V339" s="95"/>
      <c r="W339" s="95"/>
      <c r="X339" s="95"/>
      <c r="Y339" s="95"/>
      <c r="Z339" s="95"/>
    </row>
    <row r="340" ht="15.75" customHeight="1" spans="1:26">
      <c r="A340" s="95">
        <f>dados_01!A340</f>
        <v>0</v>
      </c>
      <c r="B340" s="95">
        <f>dados_01!B340</f>
        <v>0</v>
      </c>
      <c r="C340" s="95" t="str">
        <f>IFERROR(__xludf.DUMMYFUNCTION("JOIN("". "", ARRAYFORMULA(IFERROR(LEFT(SPLIT(dados_01!C340, "" ""), 1))))"),"")</f>
        <v/>
      </c>
      <c r="D340" s="95">
        <f>dados_01!D340</f>
        <v>0</v>
      </c>
      <c r="E340" s="95" t="str">
        <f>CONCATENATE(LEFT(dados_01!E340,3),REPT("*",6),RIGHT(dados_01!E340,2))</f>
        <v>******</v>
      </c>
      <c r="F340" s="95">
        <f>dados_01!F340</f>
        <v>0</v>
      </c>
      <c r="G340" s="95">
        <f>dados_01!G340</f>
        <v>0</v>
      </c>
      <c r="H340" s="95">
        <f>dados_01!H340</f>
        <v>0</v>
      </c>
      <c r="I340" s="95">
        <f>dados_01!I340</f>
        <v>0</v>
      </c>
      <c r="J340" s="95"/>
      <c r="K340" s="95"/>
      <c r="L340" s="95"/>
      <c r="M340" s="95"/>
      <c r="N340" s="95"/>
      <c r="O340" s="95"/>
      <c r="P340" s="95"/>
      <c r="Q340" s="95"/>
      <c r="R340" s="95"/>
      <c r="S340" s="95"/>
      <c r="T340" s="95"/>
      <c r="U340" s="95"/>
      <c r="V340" s="95"/>
      <c r="W340" s="95"/>
      <c r="X340" s="95"/>
      <c r="Y340" s="95"/>
      <c r="Z340" s="95"/>
    </row>
    <row r="341" ht="15.75" customHeight="1" spans="1:26">
      <c r="A341" s="95">
        <f>dados_01!A341</f>
        <v>0</v>
      </c>
      <c r="B341" s="95">
        <f>dados_01!B341</f>
        <v>0</v>
      </c>
      <c r="C341" s="95" t="str">
        <f>IFERROR(__xludf.DUMMYFUNCTION("JOIN("". "", ARRAYFORMULA(IFERROR(LEFT(SPLIT(dados_01!C341, "" ""), 1))))"),"")</f>
        <v/>
      </c>
      <c r="D341" s="95">
        <f>dados_01!D341</f>
        <v>0</v>
      </c>
      <c r="E341" s="95" t="str">
        <f>CONCATENATE(LEFT(dados_01!E341,3),REPT("*",6),RIGHT(dados_01!E341,2))</f>
        <v>******</v>
      </c>
      <c r="F341" s="95">
        <f>dados_01!F341</f>
        <v>0</v>
      </c>
      <c r="G341" s="95">
        <f>dados_01!G341</f>
        <v>0</v>
      </c>
      <c r="H341" s="95">
        <f>dados_01!H341</f>
        <v>0</v>
      </c>
      <c r="I341" s="95">
        <f>dados_01!I341</f>
        <v>0</v>
      </c>
      <c r="J341" s="95"/>
      <c r="K341" s="95"/>
      <c r="L341" s="95"/>
      <c r="M341" s="95"/>
      <c r="N341" s="95"/>
      <c r="O341" s="95"/>
      <c r="P341" s="95"/>
      <c r="Q341" s="95"/>
      <c r="R341" s="95"/>
      <c r="S341" s="95"/>
      <c r="T341" s="95"/>
      <c r="U341" s="95"/>
      <c r="V341" s="95"/>
      <c r="W341" s="95"/>
      <c r="X341" s="95"/>
      <c r="Y341" s="95"/>
      <c r="Z341" s="95"/>
    </row>
    <row r="342" ht="15.75" customHeight="1" spans="1:26">
      <c r="A342" s="95">
        <f>dados_01!A342</f>
        <v>0</v>
      </c>
      <c r="B342" s="95">
        <f>dados_01!B342</f>
        <v>0</v>
      </c>
      <c r="C342" s="95" t="str">
        <f>IFERROR(__xludf.DUMMYFUNCTION("JOIN("". "", ARRAYFORMULA(IFERROR(LEFT(SPLIT(dados_01!C342, "" ""), 1))))"),"")</f>
        <v/>
      </c>
      <c r="D342" s="95">
        <f>dados_01!D342</f>
        <v>0</v>
      </c>
      <c r="E342" s="95" t="str">
        <f>CONCATENATE(LEFT(dados_01!E342,3),REPT("*",6),RIGHT(dados_01!E342,2))</f>
        <v>******</v>
      </c>
      <c r="F342" s="95">
        <f>dados_01!F342</f>
        <v>0</v>
      </c>
      <c r="G342" s="95">
        <f>dados_01!G342</f>
        <v>0</v>
      </c>
      <c r="H342" s="95">
        <f>dados_01!H342</f>
        <v>0</v>
      </c>
      <c r="I342" s="95">
        <f>dados_01!I342</f>
        <v>0</v>
      </c>
      <c r="J342" s="95"/>
      <c r="K342" s="95"/>
      <c r="L342" s="95"/>
      <c r="M342" s="95"/>
      <c r="N342" s="95"/>
      <c r="O342" s="95"/>
      <c r="P342" s="95"/>
      <c r="Q342" s="95"/>
      <c r="R342" s="95"/>
      <c r="S342" s="95"/>
      <c r="T342" s="95"/>
      <c r="U342" s="95"/>
      <c r="V342" s="95"/>
      <c r="W342" s="95"/>
      <c r="X342" s="95"/>
      <c r="Y342" s="95"/>
      <c r="Z342" s="95"/>
    </row>
    <row r="343" ht="15.75" customHeight="1" spans="1:26">
      <c r="A343" s="95">
        <f>dados_01!A343</f>
        <v>0</v>
      </c>
      <c r="B343" s="95">
        <f>dados_01!B343</f>
        <v>0</v>
      </c>
      <c r="C343" s="95" t="str">
        <f>IFERROR(__xludf.DUMMYFUNCTION("JOIN("". "", ARRAYFORMULA(IFERROR(LEFT(SPLIT(dados_01!C343, "" ""), 1))))"),"")</f>
        <v/>
      </c>
      <c r="D343" s="95">
        <f>dados_01!D343</f>
        <v>0</v>
      </c>
      <c r="E343" s="95" t="str">
        <f>CONCATENATE(LEFT(dados_01!E343,3),REPT("*",6),RIGHT(dados_01!E343,2))</f>
        <v>******</v>
      </c>
      <c r="F343" s="95">
        <f>dados_01!F343</f>
        <v>0</v>
      </c>
      <c r="G343" s="95">
        <f>dados_01!G343</f>
        <v>0</v>
      </c>
      <c r="H343" s="95">
        <f>dados_01!H343</f>
        <v>0</v>
      </c>
      <c r="I343" s="95">
        <f>dados_01!I343</f>
        <v>0</v>
      </c>
      <c r="J343" s="95"/>
      <c r="K343" s="95"/>
      <c r="L343" s="95"/>
      <c r="M343" s="95"/>
      <c r="N343" s="95"/>
      <c r="O343" s="95"/>
      <c r="P343" s="95"/>
      <c r="Q343" s="95"/>
      <c r="R343" s="95"/>
      <c r="S343" s="95"/>
      <c r="T343" s="95"/>
      <c r="U343" s="95"/>
      <c r="V343" s="95"/>
      <c r="W343" s="95"/>
      <c r="X343" s="95"/>
      <c r="Y343" s="95"/>
      <c r="Z343" s="95"/>
    </row>
    <row r="344" ht="15.75" customHeight="1" spans="1:26">
      <c r="A344" s="95">
        <f>dados_01!A344</f>
        <v>0</v>
      </c>
      <c r="B344" s="95">
        <f>dados_01!B344</f>
        <v>0</v>
      </c>
      <c r="C344" s="95" t="str">
        <f>IFERROR(__xludf.DUMMYFUNCTION("JOIN("". "", ARRAYFORMULA(IFERROR(LEFT(SPLIT(dados_01!C344, "" ""), 1))))"),"")</f>
        <v/>
      </c>
      <c r="D344" s="95">
        <f>dados_01!D344</f>
        <v>0</v>
      </c>
      <c r="E344" s="95" t="str">
        <f>CONCATENATE(LEFT(dados_01!E344,3),REPT("*",6),RIGHT(dados_01!E344,2))</f>
        <v>******</v>
      </c>
      <c r="F344" s="95">
        <f>dados_01!F344</f>
        <v>0</v>
      </c>
      <c r="G344" s="95">
        <f>dados_01!G344</f>
        <v>0</v>
      </c>
      <c r="H344" s="95">
        <f>dados_01!H344</f>
        <v>0</v>
      </c>
      <c r="I344" s="95">
        <f>dados_01!I344</f>
        <v>0</v>
      </c>
      <c r="J344" s="95"/>
      <c r="K344" s="95"/>
      <c r="L344" s="95"/>
      <c r="M344" s="95"/>
      <c r="N344" s="95"/>
      <c r="O344" s="95"/>
      <c r="P344" s="95"/>
      <c r="Q344" s="95"/>
      <c r="R344" s="95"/>
      <c r="S344" s="95"/>
      <c r="T344" s="95"/>
      <c r="U344" s="95"/>
      <c r="V344" s="95"/>
      <c r="W344" s="95"/>
      <c r="X344" s="95"/>
      <c r="Y344" s="95"/>
      <c r="Z344" s="95"/>
    </row>
    <row r="345" ht="15.75" customHeight="1" spans="1:26">
      <c r="A345" s="95">
        <f>dados_01!A345</f>
        <v>0</v>
      </c>
      <c r="B345" s="95">
        <f>dados_01!B345</f>
        <v>0</v>
      </c>
      <c r="C345" s="95" t="str">
        <f>IFERROR(__xludf.DUMMYFUNCTION("JOIN("". "", ARRAYFORMULA(IFERROR(LEFT(SPLIT(dados_01!C345, "" ""), 1))))"),"")</f>
        <v/>
      </c>
      <c r="D345" s="95">
        <f>dados_01!D345</f>
        <v>0</v>
      </c>
      <c r="E345" s="95" t="str">
        <f>CONCATENATE(LEFT(dados_01!E345,3),REPT("*",6),RIGHT(dados_01!E345,2))</f>
        <v>******</v>
      </c>
      <c r="F345" s="95">
        <f>dados_01!F345</f>
        <v>0</v>
      </c>
      <c r="G345" s="95">
        <f>dados_01!G345</f>
        <v>0</v>
      </c>
      <c r="H345" s="95">
        <f>dados_01!H345</f>
        <v>0</v>
      </c>
      <c r="I345" s="95">
        <f>dados_01!I345</f>
        <v>0</v>
      </c>
      <c r="J345" s="95"/>
      <c r="K345" s="95"/>
      <c r="L345" s="95"/>
      <c r="M345" s="95"/>
      <c r="N345" s="95"/>
      <c r="O345" s="95"/>
      <c r="P345" s="95"/>
      <c r="Q345" s="95"/>
      <c r="R345" s="95"/>
      <c r="S345" s="95"/>
      <c r="T345" s="95"/>
      <c r="U345" s="95"/>
      <c r="V345" s="95"/>
      <c r="W345" s="95"/>
      <c r="X345" s="95"/>
      <c r="Y345" s="95"/>
      <c r="Z345" s="95"/>
    </row>
    <row r="346" ht="15.75" customHeight="1" spans="1:26">
      <c r="A346" s="95">
        <f>dados_01!A346</f>
        <v>0</v>
      </c>
      <c r="B346" s="95">
        <f>dados_01!B346</f>
        <v>0</v>
      </c>
      <c r="C346" s="95" t="str">
        <f>IFERROR(__xludf.DUMMYFUNCTION("JOIN("". "", ARRAYFORMULA(IFERROR(LEFT(SPLIT(dados_01!C346, "" ""), 1))))"),"")</f>
        <v/>
      </c>
      <c r="D346" s="95">
        <f>dados_01!D346</f>
        <v>0</v>
      </c>
      <c r="E346" s="95" t="str">
        <f>CONCATENATE(LEFT(dados_01!E346,3),REPT("*",6),RIGHT(dados_01!E346,2))</f>
        <v>******</v>
      </c>
      <c r="F346" s="95">
        <f>dados_01!F346</f>
        <v>0</v>
      </c>
      <c r="G346" s="95">
        <f>dados_01!G346</f>
        <v>0</v>
      </c>
      <c r="H346" s="95">
        <f>dados_01!H346</f>
        <v>0</v>
      </c>
      <c r="I346" s="95">
        <f>dados_01!I346</f>
        <v>0</v>
      </c>
      <c r="J346" s="95"/>
      <c r="K346" s="95"/>
      <c r="L346" s="95"/>
      <c r="M346" s="95"/>
      <c r="N346" s="95"/>
      <c r="O346" s="95"/>
      <c r="P346" s="95"/>
      <c r="Q346" s="95"/>
      <c r="R346" s="95"/>
      <c r="S346" s="95"/>
      <c r="T346" s="95"/>
      <c r="U346" s="95"/>
      <c r="V346" s="95"/>
      <c r="W346" s="95"/>
      <c r="X346" s="95"/>
      <c r="Y346" s="95"/>
      <c r="Z346" s="95"/>
    </row>
    <row r="347" ht="15.75" customHeight="1" spans="1:26">
      <c r="A347" s="95">
        <f>dados_01!A347</f>
        <v>0</v>
      </c>
      <c r="B347" s="95">
        <f>dados_01!B347</f>
        <v>0</v>
      </c>
      <c r="C347" s="95" t="str">
        <f>IFERROR(__xludf.DUMMYFUNCTION("JOIN("". "", ARRAYFORMULA(IFERROR(LEFT(SPLIT(dados_01!C347, "" ""), 1))))"),"")</f>
        <v/>
      </c>
      <c r="D347" s="95">
        <f>dados_01!D347</f>
        <v>0</v>
      </c>
      <c r="E347" s="95" t="str">
        <f>CONCATENATE(LEFT(dados_01!E347,3),REPT("*",6),RIGHT(dados_01!E347,2))</f>
        <v>******</v>
      </c>
      <c r="F347" s="95">
        <f>dados_01!F347</f>
        <v>0</v>
      </c>
      <c r="G347" s="95">
        <f>dados_01!G347</f>
        <v>0</v>
      </c>
      <c r="H347" s="95">
        <f>dados_01!H347</f>
        <v>0</v>
      </c>
      <c r="I347" s="95">
        <f>dados_01!I347</f>
        <v>0</v>
      </c>
      <c r="J347" s="95"/>
      <c r="K347" s="95"/>
      <c r="L347" s="95"/>
      <c r="M347" s="95"/>
      <c r="N347" s="95"/>
      <c r="O347" s="95"/>
      <c r="P347" s="95"/>
      <c r="Q347" s="95"/>
      <c r="R347" s="95"/>
      <c r="S347" s="95"/>
      <c r="T347" s="95"/>
      <c r="U347" s="95"/>
      <c r="V347" s="95"/>
      <c r="W347" s="95"/>
      <c r="X347" s="95"/>
      <c r="Y347" s="95"/>
      <c r="Z347" s="95"/>
    </row>
    <row r="348" ht="15.75" customHeight="1" spans="1:26">
      <c r="A348" s="95">
        <f>dados_01!A348</f>
        <v>0</v>
      </c>
      <c r="B348" s="95">
        <f>dados_01!B348</f>
        <v>0</v>
      </c>
      <c r="C348" s="95" t="str">
        <f>IFERROR(__xludf.DUMMYFUNCTION("JOIN("". "", ARRAYFORMULA(IFERROR(LEFT(SPLIT(dados_01!C348, "" ""), 1))))"),"")</f>
        <v/>
      </c>
      <c r="D348" s="95">
        <f>dados_01!D348</f>
        <v>0</v>
      </c>
      <c r="E348" s="95" t="str">
        <f>CONCATENATE(LEFT(dados_01!E348,3),REPT("*",6),RIGHT(dados_01!E348,2))</f>
        <v>******</v>
      </c>
      <c r="F348" s="95">
        <f>dados_01!F348</f>
        <v>0</v>
      </c>
      <c r="G348" s="95">
        <f>dados_01!G348</f>
        <v>0</v>
      </c>
      <c r="H348" s="95">
        <f>dados_01!H348</f>
        <v>0</v>
      </c>
      <c r="I348" s="95">
        <f>dados_01!I348</f>
        <v>0</v>
      </c>
      <c r="J348" s="95"/>
      <c r="K348" s="95"/>
      <c r="L348" s="95"/>
      <c r="M348" s="95"/>
      <c r="N348" s="95"/>
      <c r="O348" s="95"/>
      <c r="P348" s="95"/>
      <c r="Q348" s="95"/>
      <c r="R348" s="95"/>
      <c r="S348" s="95"/>
      <c r="T348" s="95"/>
      <c r="U348" s="95"/>
      <c r="V348" s="95"/>
      <c r="W348" s="95"/>
      <c r="X348" s="95"/>
      <c r="Y348" s="95"/>
      <c r="Z348" s="95"/>
    </row>
    <row r="349" ht="15.75" customHeight="1" spans="1:26">
      <c r="A349" s="95">
        <f>dados_01!A349</f>
        <v>0</v>
      </c>
      <c r="B349" s="95">
        <f>dados_01!B349</f>
        <v>0</v>
      </c>
      <c r="C349" s="95" t="str">
        <f>IFERROR(__xludf.DUMMYFUNCTION("JOIN("". "", ARRAYFORMULA(IFERROR(LEFT(SPLIT(dados_01!C349, "" ""), 1))))"),"")</f>
        <v/>
      </c>
      <c r="D349" s="95">
        <f>dados_01!D349</f>
        <v>0</v>
      </c>
      <c r="E349" s="95" t="str">
        <f>CONCATENATE(LEFT(dados_01!E349,3),REPT("*",6),RIGHT(dados_01!E349,2))</f>
        <v>******</v>
      </c>
      <c r="F349" s="95">
        <f>dados_01!F349</f>
        <v>0</v>
      </c>
      <c r="G349" s="95">
        <f>dados_01!G349</f>
        <v>0</v>
      </c>
      <c r="H349" s="95">
        <f>dados_01!H349</f>
        <v>0</v>
      </c>
      <c r="I349" s="95">
        <f>dados_01!I349</f>
        <v>0</v>
      </c>
      <c r="J349" s="95"/>
      <c r="K349" s="95"/>
      <c r="L349" s="95"/>
      <c r="M349" s="95"/>
      <c r="N349" s="95"/>
      <c r="O349" s="95"/>
      <c r="P349" s="95"/>
      <c r="Q349" s="95"/>
      <c r="R349" s="95"/>
      <c r="S349" s="95"/>
      <c r="T349" s="95"/>
      <c r="U349" s="95"/>
      <c r="V349" s="95"/>
      <c r="W349" s="95"/>
      <c r="X349" s="95"/>
      <c r="Y349" s="95"/>
      <c r="Z349" s="95"/>
    </row>
    <row r="350" ht="15.75" customHeight="1" spans="1:26">
      <c r="A350" s="95">
        <f>dados_01!A350</f>
        <v>0</v>
      </c>
      <c r="B350" s="95">
        <f>dados_01!B350</f>
        <v>0</v>
      </c>
      <c r="C350" s="95" t="str">
        <f>IFERROR(__xludf.DUMMYFUNCTION("JOIN("". "", ARRAYFORMULA(IFERROR(LEFT(SPLIT(dados_01!C350, "" ""), 1))))"),"")</f>
        <v/>
      </c>
      <c r="D350" s="95">
        <f>dados_01!D350</f>
        <v>0</v>
      </c>
      <c r="E350" s="95" t="str">
        <f>CONCATENATE(LEFT(dados_01!E350,3),REPT("*",6),RIGHT(dados_01!E350,2))</f>
        <v>******</v>
      </c>
      <c r="F350" s="95">
        <f>dados_01!F350</f>
        <v>0</v>
      </c>
      <c r="G350" s="95">
        <f>dados_01!G350</f>
        <v>0</v>
      </c>
      <c r="H350" s="95">
        <f>dados_01!H350</f>
        <v>0</v>
      </c>
      <c r="I350" s="95">
        <f>dados_01!I350</f>
        <v>0</v>
      </c>
      <c r="J350" s="95"/>
      <c r="K350" s="95"/>
      <c r="L350" s="95"/>
      <c r="M350" s="95"/>
      <c r="N350" s="95"/>
      <c r="O350" s="95"/>
      <c r="P350" s="95"/>
      <c r="Q350" s="95"/>
      <c r="R350" s="95"/>
      <c r="S350" s="95"/>
      <c r="T350" s="95"/>
      <c r="U350" s="95"/>
      <c r="V350" s="95"/>
      <c r="W350" s="95"/>
      <c r="X350" s="95"/>
      <c r="Y350" s="95"/>
      <c r="Z350" s="95"/>
    </row>
    <row r="351" ht="15.75" customHeight="1" spans="1:26">
      <c r="A351" s="95">
        <f>dados_01!A351</f>
        <v>0</v>
      </c>
      <c r="B351" s="95">
        <f>dados_01!B351</f>
        <v>0</v>
      </c>
      <c r="C351" s="95" t="str">
        <f>IFERROR(__xludf.DUMMYFUNCTION("JOIN("". "", ARRAYFORMULA(IFERROR(LEFT(SPLIT(dados_01!C351, "" ""), 1))))"),"")</f>
        <v/>
      </c>
      <c r="D351" s="95">
        <f>dados_01!D351</f>
        <v>0</v>
      </c>
      <c r="E351" s="95" t="str">
        <f>CONCATENATE(LEFT(dados_01!E351,3),REPT("*",6),RIGHT(dados_01!E351,2))</f>
        <v>******</v>
      </c>
      <c r="F351" s="95">
        <f>dados_01!F351</f>
        <v>0</v>
      </c>
      <c r="G351" s="95">
        <f>dados_01!G351</f>
        <v>0</v>
      </c>
      <c r="H351" s="95">
        <f>dados_01!H351</f>
        <v>0</v>
      </c>
      <c r="I351" s="95">
        <f>dados_01!I351</f>
        <v>0</v>
      </c>
      <c r="J351" s="95"/>
      <c r="K351" s="95"/>
      <c r="L351" s="95"/>
      <c r="M351" s="95"/>
      <c r="N351" s="95"/>
      <c r="O351" s="95"/>
      <c r="P351" s="95"/>
      <c r="Q351" s="95"/>
      <c r="R351" s="95"/>
      <c r="S351" s="95"/>
      <c r="T351" s="95"/>
      <c r="U351" s="95"/>
      <c r="V351" s="95"/>
      <c r="W351" s="95"/>
      <c r="X351" s="95"/>
      <c r="Y351" s="95"/>
      <c r="Z351" s="95"/>
    </row>
    <row r="352" ht="15.75" customHeight="1" spans="1:26">
      <c r="A352" s="95">
        <f>dados_01!A352</f>
        <v>0</v>
      </c>
      <c r="B352" s="95">
        <f>dados_01!B352</f>
        <v>0</v>
      </c>
      <c r="C352" s="95" t="str">
        <f>IFERROR(__xludf.DUMMYFUNCTION("JOIN("". "", ARRAYFORMULA(IFERROR(LEFT(SPLIT(dados_01!C352, "" ""), 1))))"),"")</f>
        <v/>
      </c>
      <c r="D352" s="95">
        <f>dados_01!D352</f>
        <v>0</v>
      </c>
      <c r="E352" s="95" t="str">
        <f>CONCATENATE(LEFT(dados_01!E352,3),REPT("*",6),RIGHT(dados_01!E352,2))</f>
        <v>******</v>
      </c>
      <c r="F352" s="95">
        <f>dados_01!F352</f>
        <v>0</v>
      </c>
      <c r="G352" s="95">
        <f>dados_01!G352</f>
        <v>0</v>
      </c>
      <c r="H352" s="95">
        <f>dados_01!H352</f>
        <v>0</v>
      </c>
      <c r="I352" s="95">
        <f>dados_01!I352</f>
        <v>0</v>
      </c>
      <c r="J352" s="95"/>
      <c r="K352" s="95"/>
      <c r="L352" s="95"/>
      <c r="M352" s="95"/>
      <c r="N352" s="95"/>
      <c r="O352" s="95"/>
      <c r="P352" s="95"/>
      <c r="Q352" s="95"/>
      <c r="R352" s="95"/>
      <c r="S352" s="95"/>
      <c r="T352" s="95"/>
      <c r="U352" s="95"/>
      <c r="V352" s="95"/>
      <c r="W352" s="95"/>
      <c r="X352" s="95"/>
      <c r="Y352" s="95"/>
      <c r="Z352" s="95"/>
    </row>
    <row r="353" ht="15.75" customHeight="1" spans="1:26">
      <c r="A353" s="95">
        <f>dados_01!A353</f>
        <v>0</v>
      </c>
      <c r="B353" s="95">
        <f>dados_01!B353</f>
        <v>0</v>
      </c>
      <c r="C353" s="95" t="str">
        <f>IFERROR(__xludf.DUMMYFUNCTION("JOIN("". "", ARRAYFORMULA(IFERROR(LEFT(SPLIT(dados_01!C353, "" ""), 1))))"),"")</f>
        <v/>
      </c>
      <c r="D353" s="95">
        <f>dados_01!D353</f>
        <v>0</v>
      </c>
      <c r="E353" s="95" t="str">
        <f>CONCATENATE(LEFT(dados_01!E353,3),REPT("*",6),RIGHT(dados_01!E353,2))</f>
        <v>******</v>
      </c>
      <c r="F353" s="95">
        <f>dados_01!F353</f>
        <v>0</v>
      </c>
      <c r="G353" s="95">
        <f>dados_01!G353</f>
        <v>0</v>
      </c>
      <c r="H353" s="95">
        <f>dados_01!H353</f>
        <v>0</v>
      </c>
      <c r="I353" s="95">
        <f>dados_01!I353</f>
        <v>0</v>
      </c>
      <c r="J353" s="95"/>
      <c r="K353" s="95"/>
      <c r="L353" s="95"/>
      <c r="M353" s="95"/>
      <c r="N353" s="95"/>
      <c r="O353" s="95"/>
      <c r="P353" s="95"/>
      <c r="Q353" s="95"/>
      <c r="R353" s="95"/>
      <c r="S353" s="95"/>
      <c r="T353" s="95"/>
      <c r="U353" s="95"/>
      <c r="V353" s="95"/>
      <c r="W353" s="95"/>
      <c r="X353" s="95"/>
      <c r="Y353" s="95"/>
      <c r="Z353" s="95"/>
    </row>
    <row r="354" ht="15.75" customHeight="1" spans="1:26">
      <c r="A354" s="95">
        <f>dados_01!A354</f>
        <v>0</v>
      </c>
      <c r="B354" s="95">
        <f>dados_01!B354</f>
        <v>0</v>
      </c>
      <c r="C354" s="95" t="str">
        <f>IFERROR(__xludf.DUMMYFUNCTION("JOIN("". "", ARRAYFORMULA(IFERROR(LEFT(SPLIT(dados_01!C354, "" ""), 1))))"),"")</f>
        <v/>
      </c>
      <c r="D354" s="95">
        <f>dados_01!D354</f>
        <v>0</v>
      </c>
      <c r="E354" s="95" t="str">
        <f>CONCATENATE(LEFT(dados_01!E354,3),REPT("*",6),RIGHT(dados_01!E354,2))</f>
        <v>******</v>
      </c>
      <c r="F354" s="95">
        <f>dados_01!F354</f>
        <v>0</v>
      </c>
      <c r="G354" s="95">
        <f>dados_01!G354</f>
        <v>0</v>
      </c>
      <c r="H354" s="95">
        <f>dados_01!H354</f>
        <v>0</v>
      </c>
      <c r="I354" s="95">
        <f>dados_01!I354</f>
        <v>0</v>
      </c>
      <c r="J354" s="95"/>
      <c r="K354" s="95"/>
      <c r="L354" s="95"/>
      <c r="M354" s="95"/>
      <c r="N354" s="95"/>
      <c r="O354" s="95"/>
      <c r="P354" s="95"/>
      <c r="Q354" s="95"/>
      <c r="R354" s="95"/>
      <c r="S354" s="95"/>
      <c r="T354" s="95"/>
      <c r="U354" s="95"/>
      <c r="V354" s="95"/>
      <c r="W354" s="95"/>
      <c r="X354" s="95"/>
      <c r="Y354" s="95"/>
      <c r="Z354" s="95"/>
    </row>
    <row r="355" ht="15.75" customHeight="1" spans="1:26">
      <c r="A355" s="95">
        <f>dados_01!A355</f>
        <v>0</v>
      </c>
      <c r="B355" s="95">
        <f>dados_01!B355</f>
        <v>0</v>
      </c>
      <c r="C355" s="95" t="str">
        <f>IFERROR(__xludf.DUMMYFUNCTION("JOIN("". "", ARRAYFORMULA(IFERROR(LEFT(SPLIT(dados_01!C355, "" ""), 1))))"),"")</f>
        <v/>
      </c>
      <c r="D355" s="95">
        <f>dados_01!D355</f>
        <v>0</v>
      </c>
      <c r="E355" s="95" t="str">
        <f>CONCATENATE(LEFT(dados_01!E355,3),REPT("*",6),RIGHT(dados_01!E355,2))</f>
        <v>******</v>
      </c>
      <c r="F355" s="95">
        <f>dados_01!F355</f>
        <v>0</v>
      </c>
      <c r="G355" s="95">
        <f>dados_01!G355</f>
        <v>0</v>
      </c>
      <c r="H355" s="95">
        <f>dados_01!H355</f>
        <v>0</v>
      </c>
      <c r="I355" s="95">
        <f>dados_01!I355</f>
        <v>0</v>
      </c>
      <c r="J355" s="95"/>
      <c r="K355" s="95"/>
      <c r="L355" s="95"/>
      <c r="M355" s="95"/>
      <c r="N355" s="95"/>
      <c r="O355" s="95"/>
      <c r="P355" s="95"/>
      <c r="Q355" s="95"/>
      <c r="R355" s="95"/>
      <c r="S355" s="95"/>
      <c r="T355" s="95"/>
      <c r="U355" s="95"/>
      <c r="V355" s="95"/>
      <c r="W355" s="95"/>
      <c r="X355" s="95"/>
      <c r="Y355" s="95"/>
      <c r="Z355" s="95"/>
    </row>
    <row r="356" ht="15.75" customHeight="1" spans="1:26">
      <c r="A356" s="95">
        <f>dados_01!A356</f>
        <v>0</v>
      </c>
      <c r="B356" s="95">
        <f>dados_01!B356</f>
        <v>0</v>
      </c>
      <c r="C356" s="95" t="str">
        <f>IFERROR(__xludf.DUMMYFUNCTION("JOIN("". "", ARRAYFORMULA(IFERROR(LEFT(SPLIT(dados_01!C356, "" ""), 1))))"),"")</f>
        <v/>
      </c>
      <c r="D356" s="95">
        <f>dados_01!D356</f>
        <v>0</v>
      </c>
      <c r="E356" s="95" t="str">
        <f>CONCATENATE(LEFT(dados_01!E356,3),REPT("*",6),RIGHT(dados_01!E356,2))</f>
        <v>******</v>
      </c>
      <c r="F356" s="95">
        <f>dados_01!F356</f>
        <v>0</v>
      </c>
      <c r="G356" s="95">
        <f>dados_01!G356</f>
        <v>0</v>
      </c>
      <c r="H356" s="95">
        <f>dados_01!H356</f>
        <v>0</v>
      </c>
      <c r="I356" s="95">
        <f>dados_01!I356</f>
        <v>0</v>
      </c>
      <c r="J356" s="95"/>
      <c r="K356" s="95"/>
      <c r="L356" s="95"/>
      <c r="M356" s="95"/>
      <c r="N356" s="95"/>
      <c r="O356" s="95"/>
      <c r="P356" s="95"/>
      <c r="Q356" s="95"/>
      <c r="R356" s="95"/>
      <c r="S356" s="95"/>
      <c r="T356" s="95"/>
      <c r="U356" s="95"/>
      <c r="V356" s="95"/>
      <c r="W356" s="95"/>
      <c r="X356" s="95"/>
      <c r="Y356" s="95"/>
      <c r="Z356" s="95"/>
    </row>
    <row r="357" ht="15.75" customHeight="1" spans="1:26">
      <c r="A357" s="95">
        <f>dados_01!A357</f>
        <v>0</v>
      </c>
      <c r="B357" s="95">
        <f>dados_01!B357</f>
        <v>0</v>
      </c>
      <c r="C357" s="95" t="str">
        <f>IFERROR(__xludf.DUMMYFUNCTION("JOIN("". "", ARRAYFORMULA(IFERROR(LEFT(SPLIT(dados_01!C357, "" ""), 1))))"),"")</f>
        <v/>
      </c>
      <c r="D357" s="95">
        <f>dados_01!D357</f>
        <v>0</v>
      </c>
      <c r="E357" s="95" t="str">
        <f>CONCATENATE(LEFT(dados_01!E357,3),REPT("*",6),RIGHT(dados_01!E357,2))</f>
        <v>******</v>
      </c>
      <c r="F357" s="95">
        <f>dados_01!F357</f>
        <v>0</v>
      </c>
      <c r="G357" s="95">
        <f>dados_01!G357</f>
        <v>0</v>
      </c>
      <c r="H357" s="95">
        <f>dados_01!H357</f>
        <v>0</v>
      </c>
      <c r="I357" s="95">
        <f>dados_01!I357</f>
        <v>0</v>
      </c>
      <c r="J357" s="95"/>
      <c r="K357" s="95"/>
      <c r="L357" s="95"/>
      <c r="M357" s="95"/>
      <c r="N357" s="95"/>
      <c r="O357" s="95"/>
      <c r="P357" s="95"/>
      <c r="Q357" s="95"/>
      <c r="R357" s="95"/>
      <c r="S357" s="95"/>
      <c r="T357" s="95"/>
      <c r="U357" s="95"/>
      <c r="V357" s="95"/>
      <c r="W357" s="95"/>
      <c r="X357" s="95"/>
      <c r="Y357" s="95"/>
      <c r="Z357" s="95"/>
    </row>
    <row r="358" ht="15.75" customHeight="1" spans="1:26">
      <c r="A358" s="95">
        <f>dados_01!A358</f>
        <v>0</v>
      </c>
      <c r="B358" s="95">
        <f>dados_01!B358</f>
        <v>0</v>
      </c>
      <c r="C358" s="95" t="str">
        <f>IFERROR(__xludf.DUMMYFUNCTION("JOIN("". "", ARRAYFORMULA(IFERROR(LEFT(SPLIT(dados_01!C358, "" ""), 1))))"),"")</f>
        <v/>
      </c>
      <c r="D358" s="95">
        <f>dados_01!D358</f>
        <v>0</v>
      </c>
      <c r="E358" s="95" t="str">
        <f>CONCATENATE(LEFT(dados_01!E358,3),REPT("*",6),RIGHT(dados_01!E358,2))</f>
        <v>******</v>
      </c>
      <c r="F358" s="95">
        <f>dados_01!F358</f>
        <v>0</v>
      </c>
      <c r="G358" s="95">
        <f>dados_01!G358</f>
        <v>0</v>
      </c>
      <c r="H358" s="95">
        <f>dados_01!H358</f>
        <v>0</v>
      </c>
      <c r="I358" s="95">
        <f>dados_01!I358</f>
        <v>0</v>
      </c>
      <c r="J358" s="95"/>
      <c r="K358" s="95"/>
      <c r="L358" s="95"/>
      <c r="M358" s="95"/>
      <c r="N358" s="95"/>
      <c r="O358" s="95"/>
      <c r="P358" s="95"/>
      <c r="Q358" s="95"/>
      <c r="R358" s="95"/>
      <c r="S358" s="95"/>
      <c r="T358" s="95"/>
      <c r="U358" s="95"/>
      <c r="V358" s="95"/>
      <c r="W358" s="95"/>
      <c r="X358" s="95"/>
      <c r="Y358" s="95"/>
      <c r="Z358" s="95"/>
    </row>
    <row r="359" ht="15.75" customHeight="1" spans="1:26">
      <c r="A359" s="95">
        <f>dados_01!A359</f>
        <v>0</v>
      </c>
      <c r="B359" s="95">
        <f>dados_01!B359</f>
        <v>0</v>
      </c>
      <c r="C359" s="95" t="str">
        <f>IFERROR(__xludf.DUMMYFUNCTION("JOIN("". "", ARRAYFORMULA(IFERROR(LEFT(SPLIT(dados_01!C359, "" ""), 1))))"),"")</f>
        <v/>
      </c>
      <c r="D359" s="95">
        <f>dados_01!D359</f>
        <v>0</v>
      </c>
      <c r="E359" s="95" t="str">
        <f>CONCATENATE(LEFT(dados_01!E359,3),REPT("*",6),RIGHT(dados_01!E359,2))</f>
        <v>******</v>
      </c>
      <c r="F359" s="95">
        <f>dados_01!F359</f>
        <v>0</v>
      </c>
      <c r="G359" s="95">
        <f>dados_01!G359</f>
        <v>0</v>
      </c>
      <c r="H359" s="95">
        <f>dados_01!H359</f>
        <v>0</v>
      </c>
      <c r="I359" s="95">
        <f>dados_01!I359</f>
        <v>0</v>
      </c>
      <c r="J359" s="95"/>
      <c r="K359" s="95"/>
      <c r="L359" s="95"/>
      <c r="M359" s="95"/>
      <c r="N359" s="95"/>
      <c r="O359" s="95"/>
      <c r="P359" s="95"/>
      <c r="Q359" s="95"/>
      <c r="R359" s="95"/>
      <c r="S359" s="95"/>
      <c r="T359" s="95"/>
      <c r="U359" s="95"/>
      <c r="V359" s="95"/>
      <c r="W359" s="95"/>
      <c r="X359" s="95"/>
      <c r="Y359" s="95"/>
      <c r="Z359" s="95"/>
    </row>
    <row r="360" ht="15.75" customHeight="1" spans="1:26">
      <c r="A360" s="95">
        <f>dados_01!A360</f>
        <v>0</v>
      </c>
      <c r="B360" s="95">
        <f>dados_01!B360</f>
        <v>0</v>
      </c>
      <c r="C360" s="95" t="str">
        <f>IFERROR(__xludf.DUMMYFUNCTION("JOIN("". "", ARRAYFORMULA(IFERROR(LEFT(SPLIT(dados_01!C360, "" ""), 1))))"),"")</f>
        <v/>
      </c>
      <c r="D360" s="95">
        <f>dados_01!D360</f>
        <v>0</v>
      </c>
      <c r="E360" s="95" t="str">
        <f>CONCATENATE(LEFT(dados_01!E360,3),REPT("*",6),RIGHT(dados_01!E360,2))</f>
        <v>******</v>
      </c>
      <c r="F360" s="95">
        <f>dados_01!F360</f>
        <v>0</v>
      </c>
      <c r="G360" s="95">
        <f>dados_01!G360</f>
        <v>0</v>
      </c>
      <c r="H360" s="95">
        <f>dados_01!H360</f>
        <v>0</v>
      </c>
      <c r="I360" s="95">
        <f>dados_01!I360</f>
        <v>0</v>
      </c>
      <c r="J360" s="95"/>
      <c r="K360" s="95"/>
      <c r="L360" s="95"/>
      <c r="M360" s="95"/>
      <c r="N360" s="95"/>
      <c r="O360" s="95"/>
      <c r="P360" s="95"/>
      <c r="Q360" s="95"/>
      <c r="R360" s="95"/>
      <c r="S360" s="95"/>
      <c r="T360" s="95"/>
      <c r="U360" s="95"/>
      <c r="V360" s="95"/>
      <c r="W360" s="95"/>
      <c r="X360" s="95"/>
      <c r="Y360" s="95"/>
      <c r="Z360" s="95"/>
    </row>
    <row r="361" ht="15.75" customHeight="1" spans="1:26">
      <c r="A361" s="95">
        <f>dados_01!A361</f>
        <v>0</v>
      </c>
      <c r="B361" s="95">
        <f>dados_01!B361</f>
        <v>0</v>
      </c>
      <c r="C361" s="95" t="str">
        <f>IFERROR(__xludf.DUMMYFUNCTION("JOIN("". "", ARRAYFORMULA(IFERROR(LEFT(SPLIT(dados_01!C361, "" ""), 1))))"),"")</f>
        <v/>
      </c>
      <c r="D361" s="95">
        <f>dados_01!D361</f>
        <v>0</v>
      </c>
      <c r="E361" s="95" t="str">
        <f>CONCATENATE(LEFT(dados_01!E361,3),REPT("*",6),RIGHT(dados_01!E361,2))</f>
        <v>******</v>
      </c>
      <c r="F361" s="95">
        <f>dados_01!F361</f>
        <v>0</v>
      </c>
      <c r="G361" s="95">
        <f>dados_01!G361</f>
        <v>0</v>
      </c>
      <c r="H361" s="95">
        <f>dados_01!H361</f>
        <v>0</v>
      </c>
      <c r="I361" s="95">
        <f>dados_01!I361</f>
        <v>0</v>
      </c>
      <c r="J361" s="95"/>
      <c r="K361" s="95"/>
      <c r="L361" s="95"/>
      <c r="M361" s="95"/>
      <c r="N361" s="95"/>
      <c r="O361" s="95"/>
      <c r="P361" s="95"/>
      <c r="Q361" s="95"/>
      <c r="R361" s="95"/>
      <c r="S361" s="95"/>
      <c r="T361" s="95"/>
      <c r="U361" s="95"/>
      <c r="V361" s="95"/>
      <c r="W361" s="95"/>
      <c r="X361" s="95"/>
      <c r="Y361" s="95"/>
      <c r="Z361" s="95"/>
    </row>
    <row r="362" ht="15.75" customHeight="1" spans="1:26">
      <c r="A362" s="95">
        <f>dados_01!A362</f>
        <v>0</v>
      </c>
      <c r="B362" s="95">
        <f>dados_01!B362</f>
        <v>0</v>
      </c>
      <c r="C362" s="95" t="str">
        <f>IFERROR(__xludf.DUMMYFUNCTION("JOIN("". "", ARRAYFORMULA(IFERROR(LEFT(SPLIT(dados_01!C362, "" ""), 1))))"),"")</f>
        <v/>
      </c>
      <c r="D362" s="95">
        <f>dados_01!D362</f>
        <v>0</v>
      </c>
      <c r="E362" s="95" t="str">
        <f>CONCATENATE(LEFT(dados_01!E362,3),REPT("*",6),RIGHT(dados_01!E362,2))</f>
        <v>******</v>
      </c>
      <c r="F362" s="95">
        <f>dados_01!F362</f>
        <v>0</v>
      </c>
      <c r="G362" s="95">
        <f>dados_01!G362</f>
        <v>0</v>
      </c>
      <c r="H362" s="95">
        <f>dados_01!H362</f>
        <v>0</v>
      </c>
      <c r="I362" s="95">
        <f>dados_01!I362</f>
        <v>0</v>
      </c>
      <c r="J362" s="95"/>
      <c r="K362" s="95"/>
      <c r="L362" s="95"/>
      <c r="M362" s="95"/>
      <c r="N362" s="95"/>
      <c r="O362" s="95"/>
      <c r="P362" s="95"/>
      <c r="Q362" s="95"/>
      <c r="R362" s="95"/>
      <c r="S362" s="95"/>
      <c r="T362" s="95"/>
      <c r="U362" s="95"/>
      <c r="V362" s="95"/>
      <c r="W362" s="95"/>
      <c r="X362" s="95"/>
      <c r="Y362" s="95"/>
      <c r="Z362" s="95"/>
    </row>
    <row r="363" ht="15.75" customHeight="1" spans="1:26">
      <c r="A363" s="95">
        <f>dados_01!A363</f>
        <v>0</v>
      </c>
      <c r="B363" s="95">
        <f>dados_01!B363</f>
        <v>0</v>
      </c>
      <c r="C363" s="95" t="str">
        <f>IFERROR(__xludf.DUMMYFUNCTION("JOIN("". "", ARRAYFORMULA(IFERROR(LEFT(SPLIT(dados_01!C363, "" ""), 1))))"),"")</f>
        <v/>
      </c>
      <c r="D363" s="95">
        <f>dados_01!D363</f>
        <v>0</v>
      </c>
      <c r="E363" s="95" t="str">
        <f>CONCATENATE(LEFT(dados_01!E363,3),REPT("*",6),RIGHT(dados_01!E363,2))</f>
        <v>******</v>
      </c>
      <c r="F363" s="95">
        <f>dados_01!F363</f>
        <v>0</v>
      </c>
      <c r="G363" s="95">
        <f>dados_01!G363</f>
        <v>0</v>
      </c>
      <c r="H363" s="95">
        <f>dados_01!H363</f>
        <v>0</v>
      </c>
      <c r="I363" s="95">
        <f>dados_01!I363</f>
        <v>0</v>
      </c>
      <c r="J363" s="95"/>
      <c r="K363" s="95"/>
      <c r="L363" s="95"/>
      <c r="M363" s="95"/>
      <c r="N363" s="95"/>
      <c r="O363" s="95"/>
      <c r="P363" s="95"/>
      <c r="Q363" s="95"/>
      <c r="R363" s="95"/>
      <c r="S363" s="95"/>
      <c r="T363" s="95"/>
      <c r="U363" s="95"/>
      <c r="V363" s="95"/>
      <c r="W363" s="95"/>
      <c r="X363" s="95"/>
      <c r="Y363" s="95"/>
      <c r="Z363" s="95"/>
    </row>
    <row r="364" ht="15.75" customHeight="1" spans="1:26">
      <c r="A364" s="95">
        <f>dados_01!A364</f>
        <v>0</v>
      </c>
      <c r="B364" s="95">
        <f>dados_01!B364</f>
        <v>0</v>
      </c>
      <c r="C364" s="95" t="str">
        <f>IFERROR(__xludf.DUMMYFUNCTION("JOIN("". "", ARRAYFORMULA(IFERROR(LEFT(SPLIT(dados_01!C364, "" ""), 1))))"),"")</f>
        <v/>
      </c>
      <c r="D364" s="95">
        <f>dados_01!D364</f>
        <v>0</v>
      </c>
      <c r="E364" s="95" t="str">
        <f>CONCATENATE(LEFT(dados_01!E364,3),REPT("*",6),RIGHT(dados_01!E364,2))</f>
        <v>******</v>
      </c>
      <c r="F364" s="95">
        <f>dados_01!F364</f>
        <v>0</v>
      </c>
      <c r="G364" s="95">
        <f>dados_01!G364</f>
        <v>0</v>
      </c>
      <c r="H364" s="95">
        <f>dados_01!H364</f>
        <v>0</v>
      </c>
      <c r="I364" s="95">
        <f>dados_01!I364</f>
        <v>0</v>
      </c>
      <c r="J364" s="95"/>
      <c r="K364" s="95"/>
      <c r="L364" s="95"/>
      <c r="M364" s="95"/>
      <c r="N364" s="95"/>
      <c r="O364" s="95"/>
      <c r="P364" s="95"/>
      <c r="Q364" s="95"/>
      <c r="R364" s="95"/>
      <c r="S364" s="95"/>
      <c r="T364" s="95"/>
      <c r="U364" s="95"/>
      <c r="V364" s="95"/>
      <c r="W364" s="95"/>
      <c r="X364" s="95"/>
      <c r="Y364" s="95"/>
      <c r="Z364" s="95"/>
    </row>
    <row r="365" ht="15.75" customHeight="1" spans="1:26">
      <c r="A365" s="95">
        <f>dados_01!A365</f>
        <v>0</v>
      </c>
      <c r="B365" s="95">
        <f>dados_01!B365</f>
        <v>0</v>
      </c>
      <c r="C365" s="95" t="str">
        <f>IFERROR(__xludf.DUMMYFUNCTION("JOIN("". "", ARRAYFORMULA(IFERROR(LEFT(SPLIT(dados_01!C365, "" ""), 1))))"),"")</f>
        <v/>
      </c>
      <c r="D365" s="95">
        <f>dados_01!D365</f>
        <v>0</v>
      </c>
      <c r="E365" s="95" t="str">
        <f>CONCATENATE(LEFT(dados_01!E365,3),REPT("*",6),RIGHT(dados_01!E365,2))</f>
        <v>******</v>
      </c>
      <c r="F365" s="95">
        <f>dados_01!F365</f>
        <v>0</v>
      </c>
      <c r="G365" s="95">
        <f>dados_01!G365</f>
        <v>0</v>
      </c>
      <c r="H365" s="95">
        <f>dados_01!H365</f>
        <v>0</v>
      </c>
      <c r="I365" s="95">
        <f>dados_01!I365</f>
        <v>0</v>
      </c>
      <c r="J365" s="95"/>
      <c r="K365" s="95"/>
      <c r="L365" s="95"/>
      <c r="M365" s="95"/>
      <c r="N365" s="95"/>
      <c r="O365" s="95"/>
      <c r="P365" s="95"/>
      <c r="Q365" s="95"/>
      <c r="R365" s="95"/>
      <c r="S365" s="95"/>
      <c r="T365" s="95"/>
      <c r="U365" s="95"/>
      <c r="V365" s="95"/>
      <c r="W365" s="95"/>
      <c r="X365" s="95"/>
      <c r="Y365" s="95"/>
      <c r="Z365" s="95"/>
    </row>
    <row r="366" ht="15.75" customHeight="1" spans="1:26">
      <c r="A366" s="95">
        <f>dados_01!A366</f>
        <v>0</v>
      </c>
      <c r="B366" s="95">
        <f>dados_01!B366</f>
        <v>0</v>
      </c>
      <c r="C366" s="95" t="str">
        <f>IFERROR(__xludf.DUMMYFUNCTION("JOIN("". "", ARRAYFORMULA(IFERROR(LEFT(SPLIT(dados_01!C366, "" ""), 1))))"),"")</f>
        <v/>
      </c>
      <c r="D366" s="95">
        <f>dados_01!D366</f>
        <v>0</v>
      </c>
      <c r="E366" s="95" t="str">
        <f>CONCATENATE(LEFT(dados_01!E366,3),REPT("*",6),RIGHT(dados_01!E366,2))</f>
        <v>******</v>
      </c>
      <c r="F366" s="95">
        <f>dados_01!F366</f>
        <v>0</v>
      </c>
      <c r="G366" s="95">
        <f>dados_01!G366</f>
        <v>0</v>
      </c>
      <c r="H366" s="95">
        <f>dados_01!H366</f>
        <v>0</v>
      </c>
      <c r="I366" s="95">
        <f>dados_01!I366</f>
        <v>0</v>
      </c>
      <c r="J366" s="95"/>
      <c r="K366" s="95"/>
      <c r="L366" s="95"/>
      <c r="M366" s="95"/>
      <c r="N366" s="95"/>
      <c r="O366" s="95"/>
      <c r="P366" s="95"/>
      <c r="Q366" s="95"/>
      <c r="R366" s="95"/>
      <c r="S366" s="95"/>
      <c r="T366" s="95"/>
      <c r="U366" s="95"/>
      <c r="V366" s="95"/>
      <c r="W366" s="95"/>
      <c r="X366" s="95"/>
      <c r="Y366" s="95"/>
      <c r="Z366" s="95"/>
    </row>
    <row r="367" ht="15.75" customHeight="1" spans="1:26">
      <c r="A367" s="95">
        <f>dados_01!A367</f>
        <v>0</v>
      </c>
      <c r="B367" s="95">
        <f>dados_01!B367</f>
        <v>0</v>
      </c>
      <c r="C367" s="95" t="str">
        <f>IFERROR(__xludf.DUMMYFUNCTION("JOIN("". "", ARRAYFORMULA(IFERROR(LEFT(SPLIT(dados_01!C367, "" ""), 1))))"),"")</f>
        <v/>
      </c>
      <c r="D367" s="95">
        <f>dados_01!D367</f>
        <v>0</v>
      </c>
      <c r="E367" s="95" t="str">
        <f>CONCATENATE(LEFT(dados_01!E367,3),REPT("*",6),RIGHT(dados_01!E367,2))</f>
        <v>******</v>
      </c>
      <c r="F367" s="95">
        <f>dados_01!F367</f>
        <v>0</v>
      </c>
      <c r="G367" s="95">
        <f>dados_01!G367</f>
        <v>0</v>
      </c>
      <c r="H367" s="95">
        <f>dados_01!H367</f>
        <v>0</v>
      </c>
      <c r="I367" s="95">
        <f>dados_01!I367</f>
        <v>0</v>
      </c>
      <c r="J367" s="95"/>
      <c r="K367" s="95"/>
      <c r="L367" s="95"/>
      <c r="M367" s="95"/>
      <c r="N367" s="95"/>
      <c r="O367" s="95"/>
      <c r="P367" s="95"/>
      <c r="Q367" s="95"/>
      <c r="R367" s="95"/>
      <c r="S367" s="95"/>
      <c r="T367" s="95"/>
      <c r="U367" s="95"/>
      <c r="V367" s="95"/>
      <c r="W367" s="95"/>
      <c r="X367" s="95"/>
      <c r="Y367" s="95"/>
      <c r="Z367" s="95"/>
    </row>
    <row r="368" ht="15.75" customHeight="1" spans="1:26">
      <c r="A368" s="95">
        <f>dados_01!A368</f>
        <v>0</v>
      </c>
      <c r="B368" s="95">
        <f>dados_01!B368</f>
        <v>0</v>
      </c>
      <c r="C368" s="95" t="str">
        <f>IFERROR(__xludf.DUMMYFUNCTION("JOIN("". "", ARRAYFORMULA(IFERROR(LEFT(SPLIT(dados_01!C368, "" ""), 1))))"),"")</f>
        <v/>
      </c>
      <c r="D368" s="95">
        <f>dados_01!D368</f>
        <v>0</v>
      </c>
      <c r="E368" s="95" t="str">
        <f>CONCATENATE(LEFT(dados_01!E368,3),REPT("*",6),RIGHT(dados_01!E368,2))</f>
        <v>******</v>
      </c>
      <c r="F368" s="95">
        <f>dados_01!F368</f>
        <v>0</v>
      </c>
      <c r="G368" s="95">
        <f>dados_01!G368</f>
        <v>0</v>
      </c>
      <c r="H368" s="95">
        <f>dados_01!H368</f>
        <v>0</v>
      </c>
      <c r="I368" s="95">
        <f>dados_01!I368</f>
        <v>0</v>
      </c>
      <c r="J368" s="95"/>
      <c r="K368" s="95"/>
      <c r="L368" s="95"/>
      <c r="M368" s="95"/>
      <c r="N368" s="95"/>
      <c r="O368" s="95"/>
      <c r="P368" s="95"/>
      <c r="Q368" s="95"/>
      <c r="R368" s="95"/>
      <c r="S368" s="95"/>
      <c r="T368" s="95"/>
      <c r="U368" s="95"/>
      <c r="V368" s="95"/>
      <c r="W368" s="95"/>
      <c r="X368" s="95"/>
      <c r="Y368" s="95"/>
      <c r="Z368" s="95"/>
    </row>
    <row r="369" ht="15.75" customHeight="1" spans="1:26">
      <c r="A369" s="95">
        <f>dados_01!A369</f>
        <v>0</v>
      </c>
      <c r="B369" s="95">
        <f>dados_01!B369</f>
        <v>0</v>
      </c>
      <c r="C369" s="95" t="str">
        <f>IFERROR(__xludf.DUMMYFUNCTION("JOIN("". "", ARRAYFORMULA(IFERROR(LEFT(SPLIT(dados_01!C369, "" ""), 1))))"),"")</f>
        <v/>
      </c>
      <c r="D369" s="95">
        <f>dados_01!D369</f>
        <v>0</v>
      </c>
      <c r="E369" s="95" t="str">
        <f>CONCATENATE(LEFT(dados_01!E369,3),REPT("*",6),RIGHT(dados_01!E369,2))</f>
        <v>******</v>
      </c>
      <c r="F369" s="95">
        <f>dados_01!F369</f>
        <v>0</v>
      </c>
      <c r="G369" s="95">
        <f>dados_01!G369</f>
        <v>0</v>
      </c>
      <c r="H369" s="95">
        <f>dados_01!H369</f>
        <v>0</v>
      </c>
      <c r="I369" s="95">
        <f>dados_01!I369</f>
        <v>0</v>
      </c>
      <c r="J369" s="95"/>
      <c r="K369" s="95"/>
      <c r="L369" s="95"/>
      <c r="M369" s="95"/>
      <c r="N369" s="95"/>
      <c r="O369" s="95"/>
      <c r="P369" s="95"/>
      <c r="Q369" s="95"/>
      <c r="R369" s="95"/>
      <c r="S369" s="95"/>
      <c r="T369" s="95"/>
      <c r="U369" s="95"/>
      <c r="V369" s="95"/>
      <c r="W369" s="95"/>
      <c r="X369" s="95"/>
      <c r="Y369" s="95"/>
      <c r="Z369" s="95"/>
    </row>
    <row r="370" ht="15.75" customHeight="1" spans="1:26">
      <c r="A370" s="95">
        <f>dados_01!A370</f>
        <v>0</v>
      </c>
      <c r="B370" s="95">
        <f>dados_01!B370</f>
        <v>0</v>
      </c>
      <c r="C370" s="95" t="str">
        <f>IFERROR(__xludf.DUMMYFUNCTION("JOIN("". "", ARRAYFORMULA(IFERROR(LEFT(SPLIT(dados_01!C370, "" ""), 1))))"),"")</f>
        <v/>
      </c>
      <c r="D370" s="95">
        <f>dados_01!D370</f>
        <v>0</v>
      </c>
      <c r="E370" s="95" t="str">
        <f>CONCATENATE(LEFT(dados_01!E370,3),REPT("*",6),RIGHT(dados_01!E370,2))</f>
        <v>******</v>
      </c>
      <c r="F370" s="95">
        <f>dados_01!F370</f>
        <v>0</v>
      </c>
      <c r="G370" s="95">
        <f>dados_01!G370</f>
        <v>0</v>
      </c>
      <c r="H370" s="95">
        <f>dados_01!H370</f>
        <v>0</v>
      </c>
      <c r="I370" s="95">
        <f>dados_01!I370</f>
        <v>0</v>
      </c>
      <c r="J370" s="95"/>
      <c r="K370" s="95"/>
      <c r="L370" s="95"/>
      <c r="M370" s="95"/>
      <c r="N370" s="95"/>
      <c r="O370" s="95"/>
      <c r="P370" s="95"/>
      <c r="Q370" s="95"/>
      <c r="R370" s="95"/>
      <c r="S370" s="95"/>
      <c r="T370" s="95"/>
      <c r="U370" s="95"/>
      <c r="V370" s="95"/>
      <c r="W370" s="95"/>
      <c r="X370" s="95"/>
      <c r="Y370" s="95"/>
      <c r="Z370" s="95"/>
    </row>
    <row r="371" ht="15.75" customHeight="1" spans="1:26">
      <c r="A371" s="95">
        <f>dados_01!A371</f>
        <v>0</v>
      </c>
      <c r="B371" s="95">
        <f>dados_01!B371</f>
        <v>0</v>
      </c>
      <c r="C371" s="95" t="str">
        <f>IFERROR(__xludf.DUMMYFUNCTION("JOIN("". "", ARRAYFORMULA(IFERROR(LEFT(SPLIT(dados_01!C371, "" ""), 1))))"),"")</f>
        <v/>
      </c>
      <c r="D371" s="95">
        <f>dados_01!D371</f>
        <v>0</v>
      </c>
      <c r="E371" s="95" t="str">
        <f>CONCATENATE(LEFT(dados_01!E371,3),REPT("*",6),RIGHT(dados_01!E371,2))</f>
        <v>******</v>
      </c>
      <c r="F371" s="95">
        <f>dados_01!F371</f>
        <v>0</v>
      </c>
      <c r="G371" s="95">
        <f>dados_01!G371</f>
        <v>0</v>
      </c>
      <c r="H371" s="95">
        <f>dados_01!H371</f>
        <v>0</v>
      </c>
      <c r="I371" s="95">
        <f>dados_01!I371</f>
        <v>0</v>
      </c>
      <c r="J371" s="95"/>
      <c r="K371" s="95"/>
      <c r="L371" s="95"/>
      <c r="M371" s="95"/>
      <c r="N371" s="95"/>
      <c r="O371" s="95"/>
      <c r="P371" s="95"/>
      <c r="Q371" s="95"/>
      <c r="R371" s="95"/>
      <c r="S371" s="95"/>
      <c r="T371" s="95"/>
      <c r="U371" s="95"/>
      <c r="V371" s="95"/>
      <c r="W371" s="95"/>
      <c r="X371" s="95"/>
      <c r="Y371" s="95"/>
      <c r="Z371" s="95"/>
    </row>
    <row r="372" ht="15.75" customHeight="1" spans="1:26">
      <c r="A372" s="95">
        <f>dados_01!A372</f>
        <v>0</v>
      </c>
      <c r="B372" s="95">
        <f>dados_01!B372</f>
        <v>0</v>
      </c>
      <c r="C372" s="95" t="str">
        <f>IFERROR(__xludf.DUMMYFUNCTION("JOIN("". "", ARRAYFORMULA(IFERROR(LEFT(SPLIT(dados_01!C372, "" ""), 1))))"),"")</f>
        <v/>
      </c>
      <c r="D372" s="95">
        <f>dados_01!D372</f>
        <v>0</v>
      </c>
      <c r="E372" s="95" t="str">
        <f>CONCATENATE(LEFT(dados_01!E372,3),REPT("*",6),RIGHT(dados_01!E372,2))</f>
        <v>******</v>
      </c>
      <c r="F372" s="95">
        <f>dados_01!F372</f>
        <v>0</v>
      </c>
      <c r="G372" s="95">
        <f>dados_01!G372</f>
        <v>0</v>
      </c>
      <c r="H372" s="95">
        <f>dados_01!H372</f>
        <v>0</v>
      </c>
      <c r="I372" s="95">
        <f>dados_01!I372</f>
        <v>0</v>
      </c>
      <c r="J372" s="95"/>
      <c r="K372" s="95"/>
      <c r="L372" s="95"/>
      <c r="M372" s="95"/>
      <c r="N372" s="95"/>
      <c r="O372" s="95"/>
      <c r="P372" s="95"/>
      <c r="Q372" s="95"/>
      <c r="R372" s="95"/>
      <c r="S372" s="95"/>
      <c r="T372" s="95"/>
      <c r="U372" s="95"/>
      <c r="V372" s="95"/>
      <c r="W372" s="95"/>
      <c r="X372" s="95"/>
      <c r="Y372" s="95"/>
      <c r="Z372" s="95"/>
    </row>
    <row r="373" ht="15.75" customHeight="1" spans="1:26">
      <c r="A373" s="95">
        <f>dados_01!A373</f>
        <v>0</v>
      </c>
      <c r="B373" s="95">
        <f>dados_01!B373</f>
        <v>0</v>
      </c>
      <c r="C373" s="95" t="str">
        <f>IFERROR(__xludf.DUMMYFUNCTION("JOIN("". "", ARRAYFORMULA(IFERROR(LEFT(SPLIT(dados_01!C373, "" ""), 1))))"),"")</f>
        <v/>
      </c>
      <c r="D373" s="95">
        <f>dados_01!D373</f>
        <v>0</v>
      </c>
      <c r="E373" s="95" t="str">
        <f>CONCATENATE(LEFT(dados_01!E373,3),REPT("*",6),RIGHT(dados_01!E373,2))</f>
        <v>******</v>
      </c>
      <c r="F373" s="95">
        <f>dados_01!F373</f>
        <v>0</v>
      </c>
      <c r="G373" s="95">
        <f>dados_01!G373</f>
        <v>0</v>
      </c>
      <c r="H373" s="95">
        <f>dados_01!H373</f>
        <v>0</v>
      </c>
      <c r="I373" s="95">
        <f>dados_01!I373</f>
        <v>0</v>
      </c>
      <c r="J373" s="95"/>
      <c r="K373" s="95"/>
      <c r="L373" s="95"/>
      <c r="M373" s="95"/>
      <c r="N373" s="95"/>
      <c r="O373" s="95"/>
      <c r="P373" s="95"/>
      <c r="Q373" s="95"/>
      <c r="R373" s="95"/>
      <c r="S373" s="95"/>
      <c r="T373" s="95"/>
      <c r="U373" s="95"/>
      <c r="V373" s="95"/>
      <c r="W373" s="95"/>
      <c r="X373" s="95"/>
      <c r="Y373" s="95"/>
      <c r="Z373" s="95"/>
    </row>
    <row r="374" ht="15.75" customHeight="1" spans="1:26">
      <c r="A374" s="95">
        <f>dados_01!A374</f>
        <v>0</v>
      </c>
      <c r="B374" s="95">
        <f>dados_01!B374</f>
        <v>0</v>
      </c>
      <c r="C374" s="95" t="str">
        <f>IFERROR(__xludf.DUMMYFUNCTION("JOIN("". "", ARRAYFORMULA(IFERROR(LEFT(SPLIT(dados_01!C374, "" ""), 1))))"),"")</f>
        <v/>
      </c>
      <c r="D374" s="95">
        <f>dados_01!D374</f>
        <v>0</v>
      </c>
      <c r="E374" s="95" t="str">
        <f>CONCATENATE(LEFT(dados_01!E374,3),REPT("*",6),RIGHT(dados_01!E374,2))</f>
        <v>******</v>
      </c>
      <c r="F374" s="95">
        <f>dados_01!F374</f>
        <v>0</v>
      </c>
      <c r="G374" s="95">
        <f>dados_01!G374</f>
        <v>0</v>
      </c>
      <c r="H374" s="95">
        <f>dados_01!H374</f>
        <v>0</v>
      </c>
      <c r="I374" s="95">
        <f>dados_01!I374</f>
        <v>0</v>
      </c>
      <c r="J374" s="95"/>
      <c r="K374" s="95"/>
      <c r="L374" s="95"/>
      <c r="M374" s="95"/>
      <c r="N374" s="95"/>
      <c r="O374" s="95"/>
      <c r="P374" s="95"/>
      <c r="Q374" s="95"/>
      <c r="R374" s="95"/>
      <c r="S374" s="95"/>
      <c r="T374" s="95"/>
      <c r="U374" s="95"/>
      <c r="V374" s="95"/>
      <c r="W374" s="95"/>
      <c r="X374" s="95"/>
      <c r="Y374" s="95"/>
      <c r="Z374" s="95"/>
    </row>
    <row r="375" ht="15.75" customHeight="1" spans="1:26">
      <c r="A375" s="95">
        <f>dados_01!A375</f>
        <v>0</v>
      </c>
      <c r="B375" s="95">
        <f>dados_01!B375</f>
        <v>0</v>
      </c>
      <c r="C375" s="95" t="str">
        <f>IFERROR(__xludf.DUMMYFUNCTION("JOIN("". "", ARRAYFORMULA(IFERROR(LEFT(SPLIT(dados_01!C375, "" ""), 1))))"),"")</f>
        <v/>
      </c>
      <c r="D375" s="95">
        <f>dados_01!D375</f>
        <v>0</v>
      </c>
      <c r="E375" s="95" t="str">
        <f>CONCATENATE(LEFT(dados_01!E375,3),REPT("*",6),RIGHT(dados_01!E375,2))</f>
        <v>******</v>
      </c>
      <c r="F375" s="95">
        <f>dados_01!F375</f>
        <v>0</v>
      </c>
      <c r="G375" s="95">
        <f>dados_01!G375</f>
        <v>0</v>
      </c>
      <c r="H375" s="95">
        <f>dados_01!H375</f>
        <v>0</v>
      </c>
      <c r="I375" s="95">
        <f>dados_01!I375</f>
        <v>0</v>
      </c>
      <c r="J375" s="95"/>
      <c r="K375" s="95"/>
      <c r="L375" s="95"/>
      <c r="M375" s="95"/>
      <c r="N375" s="95"/>
      <c r="O375" s="95"/>
      <c r="P375" s="95"/>
      <c r="Q375" s="95"/>
      <c r="R375" s="95"/>
      <c r="S375" s="95"/>
      <c r="T375" s="95"/>
      <c r="U375" s="95"/>
      <c r="V375" s="95"/>
      <c r="W375" s="95"/>
      <c r="X375" s="95"/>
      <c r="Y375" s="95"/>
      <c r="Z375" s="95"/>
    </row>
    <row r="376" ht="15.75" customHeight="1" spans="1:26">
      <c r="A376" s="95">
        <f>dados_01!A376</f>
        <v>0</v>
      </c>
      <c r="B376" s="95">
        <f>dados_01!B376</f>
        <v>0</v>
      </c>
      <c r="C376" s="95" t="str">
        <f>IFERROR(__xludf.DUMMYFUNCTION("JOIN("". "", ARRAYFORMULA(IFERROR(LEFT(SPLIT(dados_01!C376, "" ""), 1))))"),"")</f>
        <v/>
      </c>
      <c r="D376" s="95">
        <f>dados_01!D376</f>
        <v>0</v>
      </c>
      <c r="E376" s="95" t="str">
        <f>CONCATENATE(LEFT(dados_01!E376,3),REPT("*",6),RIGHT(dados_01!E376,2))</f>
        <v>******</v>
      </c>
      <c r="F376" s="95">
        <f>dados_01!F376</f>
        <v>0</v>
      </c>
      <c r="G376" s="95">
        <f>dados_01!G376</f>
        <v>0</v>
      </c>
      <c r="H376" s="95">
        <f>dados_01!H376</f>
        <v>0</v>
      </c>
      <c r="I376" s="95">
        <f>dados_01!I376</f>
        <v>0</v>
      </c>
      <c r="J376" s="95"/>
      <c r="K376" s="95"/>
      <c r="L376" s="95"/>
      <c r="M376" s="95"/>
      <c r="N376" s="95"/>
      <c r="O376" s="95"/>
      <c r="P376" s="95"/>
      <c r="Q376" s="95"/>
      <c r="R376" s="95"/>
      <c r="S376" s="95"/>
      <c r="T376" s="95"/>
      <c r="U376" s="95"/>
      <c r="V376" s="95"/>
      <c r="W376" s="95"/>
      <c r="X376" s="95"/>
      <c r="Y376" s="95"/>
      <c r="Z376" s="95"/>
    </row>
    <row r="377" ht="15.75" customHeight="1" spans="1:26">
      <c r="A377" s="95">
        <f>dados_01!A377</f>
        <v>0</v>
      </c>
      <c r="B377" s="95">
        <f>dados_01!B377</f>
        <v>0</v>
      </c>
      <c r="C377" s="95" t="str">
        <f>IFERROR(__xludf.DUMMYFUNCTION("JOIN("". "", ARRAYFORMULA(IFERROR(LEFT(SPLIT(dados_01!C377, "" ""), 1))))"),"")</f>
        <v/>
      </c>
      <c r="D377" s="95">
        <f>dados_01!D377</f>
        <v>0</v>
      </c>
      <c r="E377" s="95" t="str">
        <f>CONCATENATE(LEFT(dados_01!E377,3),REPT("*",6),RIGHT(dados_01!E377,2))</f>
        <v>******</v>
      </c>
      <c r="F377" s="95">
        <f>dados_01!F377</f>
        <v>0</v>
      </c>
      <c r="G377" s="95">
        <f>dados_01!G377</f>
        <v>0</v>
      </c>
      <c r="H377" s="95">
        <f>dados_01!H377</f>
        <v>0</v>
      </c>
      <c r="I377" s="95">
        <f>dados_01!I377</f>
        <v>0</v>
      </c>
      <c r="J377" s="95"/>
      <c r="K377" s="95"/>
      <c r="L377" s="95"/>
      <c r="M377" s="95"/>
      <c r="N377" s="95"/>
      <c r="O377" s="95"/>
      <c r="P377" s="95"/>
      <c r="Q377" s="95"/>
      <c r="R377" s="95"/>
      <c r="S377" s="95"/>
      <c r="T377" s="95"/>
      <c r="U377" s="95"/>
      <c r="V377" s="95"/>
      <c r="W377" s="95"/>
      <c r="X377" s="95"/>
      <c r="Y377" s="95"/>
      <c r="Z377" s="95"/>
    </row>
    <row r="378" ht="15.75" customHeight="1" spans="1:26">
      <c r="A378" s="95">
        <f>dados_01!A378</f>
        <v>0</v>
      </c>
      <c r="B378" s="95">
        <f>dados_01!B378</f>
        <v>0</v>
      </c>
      <c r="C378" s="95" t="str">
        <f>IFERROR(__xludf.DUMMYFUNCTION("JOIN("". "", ARRAYFORMULA(IFERROR(LEFT(SPLIT(dados_01!C378, "" ""), 1))))"),"")</f>
        <v/>
      </c>
      <c r="D378" s="95">
        <f>dados_01!D378</f>
        <v>0</v>
      </c>
      <c r="E378" s="95" t="str">
        <f>CONCATENATE(LEFT(dados_01!E378,3),REPT("*",6),RIGHT(dados_01!E378,2))</f>
        <v>******</v>
      </c>
      <c r="F378" s="95">
        <f>dados_01!F378</f>
        <v>0</v>
      </c>
      <c r="G378" s="95">
        <f>dados_01!G378</f>
        <v>0</v>
      </c>
      <c r="H378" s="95">
        <f>dados_01!H378</f>
        <v>0</v>
      </c>
      <c r="I378" s="95">
        <f>dados_01!I378</f>
        <v>0</v>
      </c>
      <c r="J378" s="95"/>
      <c r="K378" s="95"/>
      <c r="L378" s="95"/>
      <c r="M378" s="95"/>
      <c r="N378" s="95"/>
      <c r="O378" s="95"/>
      <c r="P378" s="95"/>
      <c r="Q378" s="95"/>
      <c r="R378" s="95"/>
      <c r="S378" s="95"/>
      <c r="T378" s="95"/>
      <c r="U378" s="95"/>
      <c r="V378" s="95"/>
      <c r="W378" s="95"/>
      <c r="X378" s="95"/>
      <c r="Y378" s="95"/>
      <c r="Z378" s="95"/>
    </row>
    <row r="379" ht="15.75" customHeight="1" spans="1:26">
      <c r="A379" s="95">
        <f>dados_01!A379</f>
        <v>0</v>
      </c>
      <c r="B379" s="95">
        <f>dados_01!B379</f>
        <v>0</v>
      </c>
      <c r="C379" s="95" t="str">
        <f>IFERROR(__xludf.DUMMYFUNCTION("JOIN("". "", ARRAYFORMULA(IFERROR(LEFT(SPLIT(dados_01!C379, "" ""), 1))))"),"")</f>
        <v/>
      </c>
      <c r="D379" s="95">
        <f>dados_01!D379</f>
        <v>0</v>
      </c>
      <c r="E379" s="95" t="str">
        <f>CONCATENATE(LEFT(dados_01!E379,3),REPT("*",6),RIGHT(dados_01!E379,2))</f>
        <v>******</v>
      </c>
      <c r="F379" s="95">
        <f>dados_01!F379</f>
        <v>0</v>
      </c>
      <c r="G379" s="95">
        <f>dados_01!G379</f>
        <v>0</v>
      </c>
      <c r="H379" s="95">
        <f>dados_01!H379</f>
        <v>0</v>
      </c>
      <c r="I379" s="95">
        <f>dados_01!I379</f>
        <v>0</v>
      </c>
      <c r="J379" s="95"/>
      <c r="K379" s="95"/>
      <c r="L379" s="95"/>
      <c r="M379" s="95"/>
      <c r="N379" s="95"/>
      <c r="O379" s="95"/>
      <c r="P379" s="95"/>
      <c r="Q379" s="95"/>
      <c r="R379" s="95"/>
      <c r="S379" s="95"/>
      <c r="T379" s="95"/>
      <c r="U379" s="95"/>
      <c r="V379" s="95"/>
      <c r="W379" s="95"/>
      <c r="X379" s="95"/>
      <c r="Y379" s="95"/>
      <c r="Z379" s="95"/>
    </row>
    <row r="380" ht="15.75" customHeight="1" spans="1:26">
      <c r="A380" s="95">
        <f>dados_01!A380</f>
        <v>0</v>
      </c>
      <c r="B380" s="95">
        <f>dados_01!B380</f>
        <v>0</v>
      </c>
      <c r="C380" s="95" t="str">
        <f>IFERROR(__xludf.DUMMYFUNCTION("JOIN("". "", ARRAYFORMULA(IFERROR(LEFT(SPLIT(dados_01!C380, "" ""), 1))))"),"")</f>
        <v/>
      </c>
      <c r="D380" s="95">
        <f>dados_01!D380</f>
        <v>0</v>
      </c>
      <c r="E380" s="95" t="str">
        <f>CONCATENATE(LEFT(dados_01!E380,3),REPT("*",6),RIGHT(dados_01!E380,2))</f>
        <v>******</v>
      </c>
      <c r="F380" s="95">
        <f>dados_01!F380</f>
        <v>0</v>
      </c>
      <c r="G380" s="95">
        <f>dados_01!G380</f>
        <v>0</v>
      </c>
      <c r="H380" s="95">
        <f>dados_01!H380</f>
        <v>0</v>
      </c>
      <c r="I380" s="95">
        <f>dados_01!I380</f>
        <v>0</v>
      </c>
      <c r="J380" s="95"/>
      <c r="K380" s="95"/>
      <c r="L380" s="95"/>
      <c r="M380" s="95"/>
      <c r="N380" s="95"/>
      <c r="O380" s="95"/>
      <c r="P380" s="95"/>
      <c r="Q380" s="95"/>
      <c r="R380" s="95"/>
      <c r="S380" s="95"/>
      <c r="T380" s="95"/>
      <c r="U380" s="95"/>
      <c r="V380" s="95"/>
      <c r="W380" s="95"/>
      <c r="X380" s="95"/>
      <c r="Y380" s="95"/>
      <c r="Z380" s="95"/>
    </row>
    <row r="381" ht="15.75" customHeight="1" spans="1:26">
      <c r="A381" s="95">
        <f>dados_01!A381</f>
        <v>0</v>
      </c>
      <c r="B381" s="95">
        <f>dados_01!B381</f>
        <v>0</v>
      </c>
      <c r="C381" s="95" t="str">
        <f>IFERROR(__xludf.DUMMYFUNCTION("JOIN("". "", ARRAYFORMULA(IFERROR(LEFT(SPLIT(dados_01!C381, "" ""), 1))))"),"")</f>
        <v/>
      </c>
      <c r="D381" s="95">
        <f>dados_01!D381</f>
        <v>0</v>
      </c>
      <c r="E381" s="95" t="str">
        <f>CONCATENATE(LEFT(dados_01!E381,3),REPT("*",6),RIGHT(dados_01!E381,2))</f>
        <v>******</v>
      </c>
      <c r="F381" s="95">
        <f>dados_01!F381</f>
        <v>0</v>
      </c>
      <c r="G381" s="95">
        <f>dados_01!G381</f>
        <v>0</v>
      </c>
      <c r="H381" s="95">
        <f>dados_01!H381</f>
        <v>0</v>
      </c>
      <c r="I381" s="95">
        <f>dados_01!I381</f>
        <v>0</v>
      </c>
      <c r="J381" s="95"/>
      <c r="K381" s="95"/>
      <c r="L381" s="95"/>
      <c r="M381" s="95"/>
      <c r="N381" s="95"/>
      <c r="O381" s="95"/>
      <c r="P381" s="95"/>
      <c r="Q381" s="95"/>
      <c r="R381" s="95"/>
      <c r="S381" s="95"/>
      <c r="T381" s="95"/>
      <c r="U381" s="95"/>
      <c r="V381" s="95"/>
      <c r="W381" s="95"/>
      <c r="X381" s="95"/>
      <c r="Y381" s="95"/>
      <c r="Z381" s="95"/>
    </row>
    <row r="382" ht="15.75" customHeight="1" spans="1:26">
      <c r="A382" s="95">
        <f>dados_01!A382</f>
        <v>0</v>
      </c>
      <c r="B382" s="95">
        <f>dados_01!B382</f>
        <v>0</v>
      </c>
      <c r="C382" s="95" t="str">
        <f>IFERROR(__xludf.DUMMYFUNCTION("JOIN("". "", ARRAYFORMULA(IFERROR(LEFT(SPLIT(dados_01!C382, "" ""), 1))))"),"")</f>
        <v/>
      </c>
      <c r="D382" s="95">
        <f>dados_01!D382</f>
        <v>0</v>
      </c>
      <c r="E382" s="95" t="str">
        <f>CONCATENATE(LEFT(dados_01!E382,3),REPT("*",6),RIGHT(dados_01!E382,2))</f>
        <v>******</v>
      </c>
      <c r="F382" s="95">
        <f>dados_01!F382</f>
        <v>0</v>
      </c>
      <c r="G382" s="95">
        <f>dados_01!G382</f>
        <v>0</v>
      </c>
      <c r="H382" s="95">
        <f>dados_01!H382</f>
        <v>0</v>
      </c>
      <c r="I382" s="95">
        <f>dados_01!I382</f>
        <v>0</v>
      </c>
      <c r="J382" s="95"/>
      <c r="K382" s="95"/>
      <c r="L382" s="95"/>
      <c r="M382" s="95"/>
      <c r="N382" s="95"/>
      <c r="O382" s="95"/>
      <c r="P382" s="95"/>
      <c r="Q382" s="95"/>
      <c r="R382" s="95"/>
      <c r="S382" s="95"/>
      <c r="T382" s="95"/>
      <c r="U382" s="95"/>
      <c r="V382" s="95"/>
      <c r="W382" s="95"/>
      <c r="X382" s="95"/>
      <c r="Y382" s="95"/>
      <c r="Z382" s="95"/>
    </row>
    <row r="383" ht="15.75" customHeight="1" spans="1:26">
      <c r="A383" s="95">
        <f>dados_01!A383</f>
        <v>0</v>
      </c>
      <c r="B383" s="95">
        <f>dados_01!B383</f>
        <v>0</v>
      </c>
      <c r="C383" s="95" t="str">
        <f>IFERROR(__xludf.DUMMYFUNCTION("JOIN("". "", ARRAYFORMULA(IFERROR(LEFT(SPLIT(dados_01!C383, "" ""), 1))))"),"")</f>
        <v/>
      </c>
      <c r="D383" s="95">
        <f>dados_01!D383</f>
        <v>0</v>
      </c>
      <c r="E383" s="95" t="str">
        <f>CONCATENATE(LEFT(dados_01!E383,3),REPT("*",6),RIGHT(dados_01!E383,2))</f>
        <v>******</v>
      </c>
      <c r="F383" s="95">
        <f>dados_01!F383</f>
        <v>0</v>
      </c>
      <c r="G383" s="95">
        <f>dados_01!G383</f>
        <v>0</v>
      </c>
      <c r="H383" s="95">
        <f>dados_01!H383</f>
        <v>0</v>
      </c>
      <c r="I383" s="95">
        <f>dados_01!I383</f>
        <v>0</v>
      </c>
      <c r="J383" s="95"/>
      <c r="K383" s="95"/>
      <c r="L383" s="95"/>
      <c r="M383" s="95"/>
      <c r="N383" s="95"/>
      <c r="O383" s="95"/>
      <c r="P383" s="95"/>
      <c r="Q383" s="95"/>
      <c r="R383" s="95"/>
      <c r="S383" s="95"/>
      <c r="T383" s="95"/>
      <c r="U383" s="95"/>
      <c r="V383" s="95"/>
      <c r="W383" s="95"/>
      <c r="X383" s="95"/>
      <c r="Y383" s="95"/>
      <c r="Z383" s="95"/>
    </row>
    <row r="384" ht="15.75" customHeight="1" spans="1:26">
      <c r="A384" s="95">
        <f>dados_01!A384</f>
        <v>0</v>
      </c>
      <c r="B384" s="95">
        <f>dados_01!B384</f>
        <v>0</v>
      </c>
      <c r="C384" s="95" t="str">
        <f>IFERROR(__xludf.DUMMYFUNCTION("JOIN("". "", ARRAYFORMULA(IFERROR(LEFT(SPLIT(dados_01!C384, "" ""), 1))))"),"")</f>
        <v/>
      </c>
      <c r="D384" s="95">
        <f>dados_01!D384</f>
        <v>0</v>
      </c>
      <c r="E384" s="95" t="str">
        <f>CONCATENATE(LEFT(dados_01!E384,3),REPT("*",6),RIGHT(dados_01!E384,2))</f>
        <v>******</v>
      </c>
      <c r="F384" s="95">
        <f>dados_01!F384</f>
        <v>0</v>
      </c>
      <c r="G384" s="95">
        <f>dados_01!G384</f>
        <v>0</v>
      </c>
      <c r="H384" s="95">
        <f>dados_01!H384</f>
        <v>0</v>
      </c>
      <c r="I384" s="95">
        <f>dados_01!I384</f>
        <v>0</v>
      </c>
      <c r="J384" s="95"/>
      <c r="K384" s="95"/>
      <c r="L384" s="95"/>
      <c r="M384" s="95"/>
      <c r="N384" s="95"/>
      <c r="O384" s="95"/>
      <c r="P384" s="95"/>
      <c r="Q384" s="95"/>
      <c r="R384" s="95"/>
      <c r="S384" s="95"/>
      <c r="T384" s="95"/>
      <c r="U384" s="95"/>
      <c r="V384" s="95"/>
      <c r="W384" s="95"/>
      <c r="X384" s="95"/>
      <c r="Y384" s="95"/>
      <c r="Z384" s="95"/>
    </row>
    <row r="385" ht="15.75" customHeight="1" spans="1:26">
      <c r="A385" s="95">
        <f>dados_01!A385</f>
        <v>0</v>
      </c>
      <c r="B385" s="95">
        <f>dados_01!B385</f>
        <v>0</v>
      </c>
      <c r="C385" s="95" t="str">
        <f>IFERROR(__xludf.DUMMYFUNCTION("JOIN("". "", ARRAYFORMULA(IFERROR(LEFT(SPLIT(dados_01!C385, "" ""), 1))))"),"")</f>
        <v/>
      </c>
      <c r="D385" s="95">
        <f>dados_01!D385</f>
        <v>0</v>
      </c>
      <c r="E385" s="95" t="str">
        <f>CONCATENATE(LEFT(dados_01!E385,3),REPT("*",6),RIGHT(dados_01!E385,2))</f>
        <v>******</v>
      </c>
      <c r="F385" s="95">
        <f>dados_01!F385</f>
        <v>0</v>
      </c>
      <c r="G385" s="95">
        <f>dados_01!G385</f>
        <v>0</v>
      </c>
      <c r="H385" s="95">
        <f>dados_01!H385</f>
        <v>0</v>
      </c>
      <c r="I385" s="95">
        <f>dados_01!I385</f>
        <v>0</v>
      </c>
      <c r="J385" s="95"/>
      <c r="K385" s="95"/>
      <c r="L385" s="95"/>
      <c r="M385" s="95"/>
      <c r="N385" s="95"/>
      <c r="O385" s="95"/>
      <c r="P385" s="95"/>
      <c r="Q385" s="95"/>
      <c r="R385" s="95"/>
      <c r="S385" s="95"/>
      <c r="T385" s="95"/>
      <c r="U385" s="95"/>
      <c r="V385" s="95"/>
      <c r="W385" s="95"/>
      <c r="X385" s="95"/>
      <c r="Y385" s="95"/>
      <c r="Z385" s="95"/>
    </row>
    <row r="386" ht="15.75" customHeight="1" spans="1:26">
      <c r="A386" s="95">
        <f>dados_01!A386</f>
        <v>0</v>
      </c>
      <c r="B386" s="95">
        <f>dados_01!B386</f>
        <v>0</v>
      </c>
      <c r="C386" s="95" t="str">
        <f>IFERROR(__xludf.DUMMYFUNCTION("JOIN("". "", ARRAYFORMULA(IFERROR(LEFT(SPLIT(dados_01!C386, "" ""), 1))))"),"")</f>
        <v/>
      </c>
      <c r="D386" s="95">
        <f>dados_01!D386</f>
        <v>0</v>
      </c>
      <c r="E386" s="95" t="str">
        <f>CONCATENATE(LEFT(dados_01!E386,3),REPT("*",6),RIGHT(dados_01!E386,2))</f>
        <v>******</v>
      </c>
      <c r="F386" s="95">
        <f>dados_01!F386</f>
        <v>0</v>
      </c>
      <c r="G386" s="95">
        <f>dados_01!G386</f>
        <v>0</v>
      </c>
      <c r="H386" s="95">
        <f>dados_01!H386</f>
        <v>0</v>
      </c>
      <c r="I386" s="95">
        <f>dados_01!I386</f>
        <v>0</v>
      </c>
      <c r="J386" s="95"/>
      <c r="K386" s="95"/>
      <c r="L386" s="95"/>
      <c r="M386" s="95"/>
      <c r="N386" s="95"/>
      <c r="O386" s="95"/>
      <c r="P386" s="95"/>
      <c r="Q386" s="95"/>
      <c r="R386" s="95"/>
      <c r="S386" s="95"/>
      <c r="T386" s="95"/>
      <c r="U386" s="95"/>
      <c r="V386" s="95"/>
      <c r="W386" s="95"/>
      <c r="X386" s="95"/>
      <c r="Y386" s="95"/>
      <c r="Z386" s="95"/>
    </row>
    <row r="387" ht="15.75" customHeight="1" spans="1:26">
      <c r="A387" s="95">
        <f>dados_01!A387</f>
        <v>0</v>
      </c>
      <c r="B387" s="95">
        <f>dados_01!B387</f>
        <v>0</v>
      </c>
      <c r="C387" s="95" t="str">
        <f>IFERROR(__xludf.DUMMYFUNCTION("JOIN("". "", ARRAYFORMULA(IFERROR(LEFT(SPLIT(dados_01!C387, "" ""), 1))))"),"")</f>
        <v/>
      </c>
      <c r="D387" s="95">
        <f>dados_01!D387</f>
        <v>0</v>
      </c>
      <c r="E387" s="95" t="str">
        <f>CONCATENATE(LEFT(dados_01!E387,3),REPT("*",6),RIGHT(dados_01!E387,2))</f>
        <v>******</v>
      </c>
      <c r="F387" s="95">
        <f>dados_01!F387</f>
        <v>0</v>
      </c>
      <c r="G387" s="95">
        <f>dados_01!G387</f>
        <v>0</v>
      </c>
      <c r="H387" s="95">
        <f>dados_01!H387</f>
        <v>0</v>
      </c>
      <c r="I387" s="95">
        <f>dados_01!I387</f>
        <v>0</v>
      </c>
      <c r="J387" s="95"/>
      <c r="K387" s="95"/>
      <c r="L387" s="95"/>
      <c r="M387" s="95"/>
      <c r="N387" s="95"/>
      <c r="O387" s="95"/>
      <c r="P387" s="95"/>
      <c r="Q387" s="95"/>
      <c r="R387" s="95"/>
      <c r="S387" s="95"/>
      <c r="T387" s="95"/>
      <c r="U387" s="95"/>
      <c r="V387" s="95"/>
      <c r="W387" s="95"/>
      <c r="X387" s="95"/>
      <c r="Y387" s="95"/>
      <c r="Z387" s="95"/>
    </row>
    <row r="388" ht="15.75" customHeight="1" spans="1:26">
      <c r="A388" s="95">
        <f>dados_01!A388</f>
        <v>0</v>
      </c>
      <c r="B388" s="95">
        <f>dados_01!B388</f>
        <v>0</v>
      </c>
      <c r="C388" s="95" t="str">
        <f>IFERROR(__xludf.DUMMYFUNCTION("JOIN("". "", ARRAYFORMULA(IFERROR(LEFT(SPLIT(dados_01!C388, "" ""), 1))))"),"")</f>
        <v/>
      </c>
      <c r="D388" s="95">
        <f>dados_01!D388</f>
        <v>0</v>
      </c>
      <c r="E388" s="95" t="str">
        <f>CONCATENATE(LEFT(dados_01!E388,3),REPT("*",6),RIGHT(dados_01!E388,2))</f>
        <v>******</v>
      </c>
      <c r="F388" s="95">
        <f>dados_01!F388</f>
        <v>0</v>
      </c>
      <c r="G388" s="95">
        <f>dados_01!G388</f>
        <v>0</v>
      </c>
      <c r="H388" s="95">
        <f>dados_01!H388</f>
        <v>0</v>
      </c>
      <c r="I388" s="95">
        <f>dados_01!I388</f>
        <v>0</v>
      </c>
      <c r="J388" s="95"/>
      <c r="K388" s="95"/>
      <c r="L388" s="95"/>
      <c r="M388" s="95"/>
      <c r="N388" s="95"/>
      <c r="O388" s="95"/>
      <c r="P388" s="95"/>
      <c r="Q388" s="95"/>
      <c r="R388" s="95"/>
      <c r="S388" s="95"/>
      <c r="T388" s="95"/>
      <c r="U388" s="95"/>
      <c r="V388" s="95"/>
      <c r="W388" s="95"/>
      <c r="X388" s="95"/>
      <c r="Y388" s="95"/>
      <c r="Z388" s="95"/>
    </row>
    <row r="389" ht="15.75" customHeight="1" spans="1:26">
      <c r="A389" s="95">
        <f>dados_01!A389</f>
        <v>0</v>
      </c>
      <c r="B389" s="95">
        <f>dados_01!B389</f>
        <v>0</v>
      </c>
      <c r="C389" s="95" t="str">
        <f>IFERROR(__xludf.DUMMYFUNCTION("JOIN("". "", ARRAYFORMULA(IFERROR(LEFT(SPLIT(dados_01!C389, "" ""), 1))))"),"")</f>
        <v/>
      </c>
      <c r="D389" s="95">
        <f>dados_01!D389</f>
        <v>0</v>
      </c>
      <c r="E389" s="95" t="str">
        <f>CONCATENATE(LEFT(dados_01!E389,3),REPT("*",6),RIGHT(dados_01!E389,2))</f>
        <v>******</v>
      </c>
      <c r="F389" s="95">
        <f>dados_01!F389</f>
        <v>0</v>
      </c>
      <c r="G389" s="95">
        <f>dados_01!G389</f>
        <v>0</v>
      </c>
      <c r="H389" s="95">
        <f>dados_01!H389</f>
        <v>0</v>
      </c>
      <c r="I389" s="95">
        <f>dados_01!I389</f>
        <v>0</v>
      </c>
      <c r="J389" s="95"/>
      <c r="K389" s="95"/>
      <c r="L389" s="95"/>
      <c r="M389" s="95"/>
      <c r="N389" s="95"/>
      <c r="O389" s="95"/>
      <c r="P389" s="95"/>
      <c r="Q389" s="95"/>
      <c r="R389" s="95"/>
      <c r="S389" s="95"/>
      <c r="T389" s="95"/>
      <c r="U389" s="95"/>
      <c r="V389" s="95"/>
      <c r="W389" s="95"/>
      <c r="X389" s="95"/>
      <c r="Y389" s="95"/>
      <c r="Z389" s="95"/>
    </row>
    <row r="390" ht="15.75" customHeight="1" spans="1:26">
      <c r="A390" s="95">
        <f>dados_01!A390</f>
        <v>0</v>
      </c>
      <c r="B390" s="95">
        <f>dados_01!B390</f>
        <v>0</v>
      </c>
      <c r="C390" s="95" t="str">
        <f>IFERROR(__xludf.DUMMYFUNCTION("JOIN("". "", ARRAYFORMULA(IFERROR(LEFT(SPLIT(dados_01!C390, "" ""), 1))))"),"")</f>
        <v/>
      </c>
      <c r="D390" s="95">
        <f>dados_01!D390</f>
        <v>0</v>
      </c>
      <c r="E390" s="95" t="str">
        <f>CONCATENATE(LEFT(dados_01!E390,3),REPT("*",6),RIGHT(dados_01!E390,2))</f>
        <v>******</v>
      </c>
      <c r="F390" s="95">
        <f>dados_01!F390</f>
        <v>0</v>
      </c>
      <c r="G390" s="95">
        <f>dados_01!G390</f>
        <v>0</v>
      </c>
      <c r="H390" s="95">
        <f>dados_01!H390</f>
        <v>0</v>
      </c>
      <c r="I390" s="95">
        <f>dados_01!I390</f>
        <v>0</v>
      </c>
      <c r="J390" s="95"/>
      <c r="K390" s="95"/>
      <c r="L390" s="95"/>
      <c r="M390" s="95"/>
      <c r="N390" s="95"/>
      <c r="O390" s="95"/>
      <c r="P390" s="95"/>
      <c r="Q390" s="95"/>
      <c r="R390" s="95"/>
      <c r="S390" s="95"/>
      <c r="T390" s="95"/>
      <c r="U390" s="95"/>
      <c r="V390" s="95"/>
      <c r="W390" s="95"/>
      <c r="X390" s="95"/>
      <c r="Y390" s="95"/>
      <c r="Z390" s="95"/>
    </row>
    <row r="391" ht="15.75" customHeight="1" spans="1:26">
      <c r="A391" s="95">
        <f>dados_01!A391</f>
        <v>0</v>
      </c>
      <c r="B391" s="95">
        <f>dados_01!B391</f>
        <v>0</v>
      </c>
      <c r="C391" s="95" t="str">
        <f>IFERROR(__xludf.DUMMYFUNCTION("JOIN("". "", ARRAYFORMULA(IFERROR(LEFT(SPLIT(dados_01!C391, "" ""), 1))))"),"")</f>
        <v/>
      </c>
      <c r="D391" s="95">
        <f>dados_01!D391</f>
        <v>0</v>
      </c>
      <c r="E391" s="95" t="str">
        <f>CONCATENATE(LEFT(dados_01!E391,3),REPT("*",6),RIGHT(dados_01!E391,2))</f>
        <v>******</v>
      </c>
      <c r="F391" s="95">
        <f>dados_01!F391</f>
        <v>0</v>
      </c>
      <c r="G391" s="95">
        <f>dados_01!G391</f>
        <v>0</v>
      </c>
      <c r="H391" s="95">
        <f>dados_01!H391</f>
        <v>0</v>
      </c>
      <c r="I391" s="95">
        <f>dados_01!I391</f>
        <v>0</v>
      </c>
      <c r="J391" s="95"/>
      <c r="K391" s="95"/>
      <c r="L391" s="95"/>
      <c r="M391" s="95"/>
      <c r="N391" s="95"/>
      <c r="O391" s="95"/>
      <c r="P391" s="95"/>
      <c r="Q391" s="95"/>
      <c r="R391" s="95"/>
      <c r="S391" s="95"/>
      <c r="T391" s="95"/>
      <c r="U391" s="95"/>
      <c r="V391" s="95"/>
      <c r="W391" s="95"/>
      <c r="X391" s="95"/>
      <c r="Y391" s="95"/>
      <c r="Z391" s="95"/>
    </row>
    <row r="392" ht="15.75" customHeight="1" spans="1:26">
      <c r="A392" s="95">
        <f>dados_01!A392</f>
        <v>0</v>
      </c>
      <c r="B392" s="95">
        <f>dados_01!B392</f>
        <v>0</v>
      </c>
      <c r="C392" s="95" t="str">
        <f>IFERROR(__xludf.DUMMYFUNCTION("JOIN("". "", ARRAYFORMULA(IFERROR(LEFT(SPLIT(dados_01!C392, "" ""), 1))))"),"")</f>
        <v/>
      </c>
      <c r="D392" s="95">
        <f>dados_01!D392</f>
        <v>0</v>
      </c>
      <c r="E392" s="95" t="str">
        <f>CONCATENATE(LEFT(dados_01!E392,3),REPT("*",6),RIGHT(dados_01!E392,2))</f>
        <v>******</v>
      </c>
      <c r="F392" s="95">
        <f>dados_01!F392</f>
        <v>0</v>
      </c>
      <c r="G392" s="95">
        <f>dados_01!G392</f>
        <v>0</v>
      </c>
      <c r="H392" s="95">
        <f>dados_01!H392</f>
        <v>0</v>
      </c>
      <c r="I392" s="95">
        <f>dados_01!I392</f>
        <v>0</v>
      </c>
      <c r="J392" s="95"/>
      <c r="K392" s="95"/>
      <c r="L392" s="95"/>
      <c r="M392" s="95"/>
      <c r="N392" s="95"/>
      <c r="O392" s="95"/>
      <c r="P392" s="95"/>
      <c r="Q392" s="95"/>
      <c r="R392" s="95"/>
      <c r="S392" s="95"/>
      <c r="T392" s="95"/>
      <c r="U392" s="95"/>
      <c r="V392" s="95"/>
      <c r="W392" s="95"/>
      <c r="X392" s="95"/>
      <c r="Y392" s="95"/>
      <c r="Z392" s="95"/>
    </row>
    <row r="393" ht="15.75" customHeight="1" spans="1:26">
      <c r="A393" s="95">
        <f>dados_01!A393</f>
        <v>0</v>
      </c>
      <c r="B393" s="95">
        <f>dados_01!B393</f>
        <v>0</v>
      </c>
      <c r="C393" s="95" t="str">
        <f>IFERROR(__xludf.DUMMYFUNCTION("JOIN("". "", ARRAYFORMULA(IFERROR(LEFT(SPLIT(dados_01!C393, "" ""), 1))))"),"")</f>
        <v/>
      </c>
      <c r="D393" s="95">
        <f>dados_01!D393</f>
        <v>0</v>
      </c>
      <c r="E393" s="95" t="str">
        <f>CONCATENATE(LEFT(dados_01!E393,3),REPT("*",6),RIGHT(dados_01!E393,2))</f>
        <v>******</v>
      </c>
      <c r="F393" s="95">
        <f>dados_01!F393</f>
        <v>0</v>
      </c>
      <c r="G393" s="95">
        <f>dados_01!G393</f>
        <v>0</v>
      </c>
      <c r="H393" s="95">
        <f>dados_01!H393</f>
        <v>0</v>
      </c>
      <c r="I393" s="95">
        <f>dados_01!I393</f>
        <v>0</v>
      </c>
      <c r="J393" s="95"/>
      <c r="K393" s="95"/>
      <c r="L393" s="95"/>
      <c r="M393" s="95"/>
      <c r="N393" s="95"/>
      <c r="O393" s="95"/>
      <c r="P393" s="95"/>
      <c r="Q393" s="95"/>
      <c r="R393" s="95"/>
      <c r="S393" s="95"/>
      <c r="T393" s="95"/>
      <c r="U393" s="95"/>
      <c r="V393" s="95"/>
      <c r="W393" s="95"/>
      <c r="X393" s="95"/>
      <c r="Y393" s="95"/>
      <c r="Z393" s="95"/>
    </row>
    <row r="394" ht="15.75" customHeight="1" spans="1:26">
      <c r="A394" s="95">
        <f>dados_01!A394</f>
        <v>0</v>
      </c>
      <c r="B394" s="95">
        <f>dados_01!B394</f>
        <v>0</v>
      </c>
      <c r="C394" s="95" t="str">
        <f>IFERROR(__xludf.DUMMYFUNCTION("JOIN("". "", ARRAYFORMULA(IFERROR(LEFT(SPLIT(dados_01!C394, "" ""), 1))))"),"")</f>
        <v/>
      </c>
      <c r="D394" s="95">
        <f>dados_01!D394</f>
        <v>0</v>
      </c>
      <c r="E394" s="95" t="str">
        <f>CONCATENATE(LEFT(dados_01!E394,3),REPT("*",6),RIGHT(dados_01!E394,2))</f>
        <v>******</v>
      </c>
      <c r="F394" s="95">
        <f>dados_01!F394</f>
        <v>0</v>
      </c>
      <c r="G394" s="95">
        <f>dados_01!G394</f>
        <v>0</v>
      </c>
      <c r="H394" s="95">
        <f>dados_01!H394</f>
        <v>0</v>
      </c>
      <c r="I394" s="95">
        <f>dados_01!I394</f>
        <v>0</v>
      </c>
      <c r="J394" s="95"/>
      <c r="K394" s="95"/>
      <c r="L394" s="95"/>
      <c r="M394" s="95"/>
      <c r="N394" s="95"/>
      <c r="O394" s="95"/>
      <c r="P394" s="95"/>
      <c r="Q394" s="95"/>
      <c r="R394" s="95"/>
      <c r="S394" s="95"/>
      <c r="T394" s="95"/>
      <c r="U394" s="95"/>
      <c r="V394" s="95"/>
      <c r="W394" s="95"/>
      <c r="X394" s="95"/>
      <c r="Y394" s="95"/>
      <c r="Z394" s="95"/>
    </row>
    <row r="395" ht="15.75" customHeight="1" spans="1:26">
      <c r="A395" s="95">
        <f>dados_01!A395</f>
        <v>0</v>
      </c>
      <c r="B395" s="95">
        <f>dados_01!B395</f>
        <v>0</v>
      </c>
      <c r="C395" s="95" t="str">
        <f>IFERROR(__xludf.DUMMYFUNCTION("JOIN("". "", ARRAYFORMULA(IFERROR(LEFT(SPLIT(dados_01!C395, "" ""), 1))))"),"")</f>
        <v/>
      </c>
      <c r="D395" s="95">
        <f>dados_01!D395</f>
        <v>0</v>
      </c>
      <c r="E395" s="95" t="str">
        <f>CONCATENATE(LEFT(dados_01!E395,3),REPT("*",6),RIGHT(dados_01!E395,2))</f>
        <v>******</v>
      </c>
      <c r="F395" s="95">
        <f>dados_01!F395</f>
        <v>0</v>
      </c>
      <c r="G395" s="95">
        <f>dados_01!G395</f>
        <v>0</v>
      </c>
      <c r="H395" s="95">
        <f>dados_01!H395</f>
        <v>0</v>
      </c>
      <c r="I395" s="95">
        <f>dados_01!I395</f>
        <v>0</v>
      </c>
      <c r="J395" s="95"/>
      <c r="K395" s="95"/>
      <c r="L395" s="95"/>
      <c r="M395" s="95"/>
      <c r="N395" s="95"/>
      <c r="O395" s="95"/>
      <c r="P395" s="95"/>
      <c r="Q395" s="95"/>
      <c r="R395" s="95"/>
      <c r="S395" s="95"/>
      <c r="T395" s="95"/>
      <c r="U395" s="95"/>
      <c r="V395" s="95"/>
      <c r="W395" s="95"/>
      <c r="X395" s="95"/>
      <c r="Y395" s="95"/>
      <c r="Z395" s="95"/>
    </row>
    <row r="396" ht="15.75" customHeight="1" spans="1:26">
      <c r="A396" s="95">
        <f>dados_01!A396</f>
        <v>0</v>
      </c>
      <c r="B396" s="95">
        <f>dados_01!B396</f>
        <v>0</v>
      </c>
      <c r="C396" s="95" t="str">
        <f>IFERROR(__xludf.DUMMYFUNCTION("JOIN("". "", ARRAYFORMULA(IFERROR(LEFT(SPLIT(dados_01!C396, "" ""), 1))))"),"")</f>
        <v/>
      </c>
      <c r="D396" s="95">
        <f>dados_01!D396</f>
        <v>0</v>
      </c>
      <c r="E396" s="95" t="str">
        <f>CONCATENATE(LEFT(dados_01!E396,3),REPT("*",6),RIGHT(dados_01!E396,2))</f>
        <v>******</v>
      </c>
      <c r="F396" s="95">
        <f>dados_01!F396</f>
        <v>0</v>
      </c>
      <c r="G396" s="95">
        <f>dados_01!G396</f>
        <v>0</v>
      </c>
      <c r="H396" s="95">
        <f>dados_01!H396</f>
        <v>0</v>
      </c>
      <c r="I396" s="95">
        <f>dados_01!I396</f>
        <v>0</v>
      </c>
      <c r="J396" s="95"/>
      <c r="K396" s="95"/>
      <c r="L396" s="95"/>
      <c r="M396" s="95"/>
      <c r="N396" s="95"/>
      <c r="O396" s="95"/>
      <c r="P396" s="95"/>
      <c r="Q396" s="95"/>
      <c r="R396" s="95"/>
      <c r="S396" s="95"/>
      <c r="T396" s="95"/>
      <c r="U396" s="95"/>
      <c r="V396" s="95"/>
      <c r="W396" s="95"/>
      <c r="X396" s="95"/>
      <c r="Y396" s="95"/>
      <c r="Z396" s="95"/>
    </row>
    <row r="397" ht="15.75" customHeight="1" spans="1:26">
      <c r="A397" s="95">
        <f>dados_01!A397</f>
        <v>0</v>
      </c>
      <c r="B397" s="95">
        <f>dados_01!B397</f>
        <v>0</v>
      </c>
      <c r="C397" s="95" t="str">
        <f>IFERROR(__xludf.DUMMYFUNCTION("JOIN("". "", ARRAYFORMULA(IFERROR(LEFT(SPLIT(dados_01!C397, "" ""), 1))))"),"")</f>
        <v/>
      </c>
      <c r="D397" s="95">
        <f>dados_01!D397</f>
        <v>0</v>
      </c>
      <c r="E397" s="95" t="str">
        <f>CONCATENATE(LEFT(dados_01!E397,3),REPT("*",6),RIGHT(dados_01!E397,2))</f>
        <v>******</v>
      </c>
      <c r="F397" s="95">
        <f>dados_01!F397</f>
        <v>0</v>
      </c>
      <c r="G397" s="95">
        <f>dados_01!G397</f>
        <v>0</v>
      </c>
      <c r="H397" s="95">
        <f>dados_01!H397</f>
        <v>0</v>
      </c>
      <c r="I397" s="95">
        <f>dados_01!I397</f>
        <v>0</v>
      </c>
      <c r="J397" s="95"/>
      <c r="K397" s="95"/>
      <c r="L397" s="95"/>
      <c r="M397" s="95"/>
      <c r="N397" s="95"/>
      <c r="O397" s="95"/>
      <c r="P397" s="95"/>
      <c r="Q397" s="95"/>
      <c r="R397" s="95"/>
      <c r="S397" s="95"/>
      <c r="T397" s="95"/>
      <c r="U397" s="95"/>
      <c r="V397" s="95"/>
      <c r="W397" s="95"/>
      <c r="X397" s="95"/>
      <c r="Y397" s="95"/>
      <c r="Z397" s="95"/>
    </row>
    <row r="398" ht="15.75" customHeight="1" spans="1:26">
      <c r="A398" s="95">
        <f>dados_01!A398</f>
        <v>0</v>
      </c>
      <c r="B398" s="95">
        <f>dados_01!B398</f>
        <v>0</v>
      </c>
      <c r="C398" s="95" t="str">
        <f>IFERROR(__xludf.DUMMYFUNCTION("JOIN("". "", ARRAYFORMULA(IFERROR(LEFT(SPLIT(dados_01!C398, "" ""), 1))))"),"")</f>
        <v/>
      </c>
      <c r="D398" s="95">
        <f>dados_01!D398</f>
        <v>0</v>
      </c>
      <c r="E398" s="95" t="str">
        <f>CONCATENATE(LEFT(dados_01!E398,3),REPT("*",6),RIGHT(dados_01!E398,2))</f>
        <v>******</v>
      </c>
      <c r="F398" s="95">
        <f>dados_01!F398</f>
        <v>0</v>
      </c>
      <c r="G398" s="95">
        <f>dados_01!G398</f>
        <v>0</v>
      </c>
      <c r="H398" s="95">
        <f>dados_01!H398</f>
        <v>0</v>
      </c>
      <c r="I398" s="95">
        <f>dados_01!I398</f>
        <v>0</v>
      </c>
      <c r="J398" s="95"/>
      <c r="K398" s="95"/>
      <c r="L398" s="95"/>
      <c r="M398" s="95"/>
      <c r="N398" s="95"/>
      <c r="O398" s="95"/>
      <c r="P398" s="95"/>
      <c r="Q398" s="95"/>
      <c r="R398" s="95"/>
      <c r="S398" s="95"/>
      <c r="T398" s="95"/>
      <c r="U398" s="95"/>
      <c r="V398" s="95"/>
      <c r="W398" s="95"/>
      <c r="X398" s="95"/>
      <c r="Y398" s="95"/>
      <c r="Z398" s="95"/>
    </row>
    <row r="399" ht="15.75" customHeight="1" spans="1:26">
      <c r="A399" s="95">
        <f>dados_01!A399</f>
        <v>0</v>
      </c>
      <c r="B399" s="95">
        <f>dados_01!B399</f>
        <v>0</v>
      </c>
      <c r="C399" s="95" t="str">
        <f>IFERROR(__xludf.DUMMYFUNCTION("JOIN("". "", ARRAYFORMULA(IFERROR(LEFT(SPLIT(dados_01!C399, "" ""), 1))))"),"")</f>
        <v/>
      </c>
      <c r="D399" s="95">
        <f>dados_01!D399</f>
        <v>0</v>
      </c>
      <c r="E399" s="95" t="str">
        <f>CONCATENATE(LEFT(dados_01!E399,3),REPT("*",6),RIGHT(dados_01!E399,2))</f>
        <v>******</v>
      </c>
      <c r="F399" s="95">
        <f>dados_01!F399</f>
        <v>0</v>
      </c>
      <c r="G399" s="95">
        <f>dados_01!G399</f>
        <v>0</v>
      </c>
      <c r="H399" s="95">
        <f>dados_01!H399</f>
        <v>0</v>
      </c>
      <c r="I399" s="95">
        <f>dados_01!I399</f>
        <v>0</v>
      </c>
      <c r="J399" s="95"/>
      <c r="K399" s="95"/>
      <c r="L399" s="95"/>
      <c r="M399" s="95"/>
      <c r="N399" s="95"/>
      <c r="O399" s="95"/>
      <c r="P399" s="95"/>
      <c r="Q399" s="95"/>
      <c r="R399" s="95"/>
      <c r="S399" s="95"/>
      <c r="T399" s="95"/>
      <c r="U399" s="95"/>
      <c r="V399" s="95"/>
      <c r="W399" s="95"/>
      <c r="X399" s="95"/>
      <c r="Y399" s="95"/>
      <c r="Z399" s="95"/>
    </row>
    <row r="400" ht="15.75" customHeight="1" spans="1:26">
      <c r="A400" s="95">
        <f>dados_01!A400</f>
        <v>0</v>
      </c>
      <c r="B400" s="95">
        <f>dados_01!B400</f>
        <v>0</v>
      </c>
      <c r="C400" s="95" t="str">
        <f>IFERROR(__xludf.DUMMYFUNCTION("JOIN("". "", ARRAYFORMULA(IFERROR(LEFT(SPLIT(dados_01!C400, "" ""), 1))))"),"")</f>
        <v/>
      </c>
      <c r="D400" s="95">
        <f>dados_01!D400</f>
        <v>0</v>
      </c>
      <c r="E400" s="95" t="str">
        <f>CONCATENATE(LEFT(dados_01!E400,3),REPT("*",6),RIGHT(dados_01!E400,2))</f>
        <v>******</v>
      </c>
      <c r="F400" s="95">
        <f>dados_01!F400</f>
        <v>0</v>
      </c>
      <c r="G400" s="95">
        <f>dados_01!G400</f>
        <v>0</v>
      </c>
      <c r="H400" s="95">
        <f>dados_01!H400</f>
        <v>0</v>
      </c>
      <c r="I400" s="95">
        <f>dados_01!I400</f>
        <v>0</v>
      </c>
      <c r="J400" s="95"/>
      <c r="K400" s="95"/>
      <c r="L400" s="95"/>
      <c r="M400" s="95"/>
      <c r="N400" s="95"/>
      <c r="O400" s="95"/>
      <c r="P400" s="95"/>
      <c r="Q400" s="95"/>
      <c r="R400" s="95"/>
      <c r="S400" s="95"/>
      <c r="T400" s="95"/>
      <c r="U400" s="95"/>
      <c r="V400" s="95"/>
      <c r="W400" s="95"/>
      <c r="X400" s="95"/>
      <c r="Y400" s="95"/>
      <c r="Z400" s="95"/>
    </row>
    <row r="401" ht="15.75" customHeight="1" spans="1:26">
      <c r="A401" s="95">
        <f>dados_01!A401</f>
        <v>0</v>
      </c>
      <c r="B401" s="95">
        <f>dados_01!B401</f>
        <v>0</v>
      </c>
      <c r="C401" s="95" t="str">
        <f>IFERROR(__xludf.DUMMYFUNCTION("JOIN("". "", ARRAYFORMULA(IFERROR(LEFT(SPLIT(dados_01!C401, "" ""), 1))))"),"")</f>
        <v/>
      </c>
      <c r="D401" s="95">
        <f>dados_01!D401</f>
        <v>0</v>
      </c>
      <c r="E401" s="95" t="str">
        <f>CONCATENATE(LEFT(dados_01!E401,3),REPT("*",6),RIGHT(dados_01!E401,2))</f>
        <v>******</v>
      </c>
      <c r="F401" s="95">
        <f>dados_01!F401</f>
        <v>0</v>
      </c>
      <c r="G401" s="95">
        <f>dados_01!G401</f>
        <v>0</v>
      </c>
      <c r="H401" s="95">
        <f>dados_01!H401</f>
        <v>0</v>
      </c>
      <c r="I401" s="95">
        <f>dados_01!I401</f>
        <v>0</v>
      </c>
      <c r="J401" s="95"/>
      <c r="K401" s="95"/>
      <c r="L401" s="95"/>
      <c r="M401" s="95"/>
      <c r="N401" s="95"/>
      <c r="O401" s="95"/>
      <c r="P401" s="95"/>
      <c r="Q401" s="95"/>
      <c r="R401" s="95"/>
      <c r="S401" s="95"/>
      <c r="T401" s="95"/>
      <c r="U401" s="95"/>
      <c r="V401" s="95"/>
      <c r="W401" s="95"/>
      <c r="X401" s="95"/>
      <c r="Y401" s="95"/>
      <c r="Z401" s="95"/>
    </row>
    <row r="402" ht="15.75" customHeight="1" spans="1:26">
      <c r="A402" s="95">
        <f>dados_01!A402</f>
        <v>0</v>
      </c>
      <c r="B402" s="95">
        <f>dados_01!B402</f>
        <v>0</v>
      </c>
      <c r="C402" s="95" t="str">
        <f>IFERROR(__xludf.DUMMYFUNCTION("JOIN("". "", ARRAYFORMULA(IFERROR(LEFT(SPLIT(dados_01!C402, "" ""), 1))))"),"")</f>
        <v/>
      </c>
      <c r="D402" s="95">
        <f>dados_01!D402</f>
        <v>0</v>
      </c>
      <c r="E402" s="95" t="str">
        <f>CONCATENATE(LEFT(dados_01!E402,3),REPT("*",6),RIGHT(dados_01!E402,2))</f>
        <v>******</v>
      </c>
      <c r="F402" s="95">
        <f>dados_01!F402</f>
        <v>0</v>
      </c>
      <c r="G402" s="95">
        <f>dados_01!G402</f>
        <v>0</v>
      </c>
      <c r="H402" s="95">
        <f>dados_01!H402</f>
        <v>0</v>
      </c>
      <c r="I402" s="95">
        <f>dados_01!I402</f>
        <v>0</v>
      </c>
      <c r="J402" s="95"/>
      <c r="K402" s="95"/>
      <c r="L402" s="95"/>
      <c r="M402" s="95"/>
      <c r="N402" s="95"/>
      <c r="O402" s="95"/>
      <c r="P402" s="95"/>
      <c r="Q402" s="95"/>
      <c r="R402" s="95"/>
      <c r="S402" s="95"/>
      <c r="T402" s="95"/>
      <c r="U402" s="95"/>
      <c r="V402" s="95"/>
      <c r="W402" s="95"/>
      <c r="X402" s="95"/>
      <c r="Y402" s="95"/>
      <c r="Z402" s="95"/>
    </row>
    <row r="403" ht="15.75" customHeight="1" spans="1:26">
      <c r="A403" s="95">
        <f>dados_01!A403</f>
        <v>0</v>
      </c>
      <c r="B403" s="95">
        <f>dados_01!B403</f>
        <v>0</v>
      </c>
      <c r="C403" s="95" t="str">
        <f>IFERROR(__xludf.DUMMYFUNCTION("JOIN("". "", ARRAYFORMULA(IFERROR(LEFT(SPLIT(dados_01!C403, "" ""), 1))))"),"")</f>
        <v/>
      </c>
      <c r="D403" s="95">
        <f>dados_01!D403</f>
        <v>0</v>
      </c>
      <c r="E403" s="95" t="str">
        <f>CONCATENATE(LEFT(dados_01!E403,3),REPT("*",6),RIGHT(dados_01!E403,2))</f>
        <v>******</v>
      </c>
      <c r="F403" s="95">
        <f>dados_01!F403</f>
        <v>0</v>
      </c>
      <c r="G403" s="95">
        <f>dados_01!G403</f>
        <v>0</v>
      </c>
      <c r="H403" s="95">
        <f>dados_01!H403</f>
        <v>0</v>
      </c>
      <c r="I403" s="95">
        <f>dados_01!I403</f>
        <v>0</v>
      </c>
      <c r="J403" s="95"/>
      <c r="K403" s="95"/>
      <c r="L403" s="95"/>
      <c r="M403" s="95"/>
      <c r="N403" s="95"/>
      <c r="O403" s="95"/>
      <c r="P403" s="95"/>
      <c r="Q403" s="95"/>
      <c r="R403" s="95"/>
      <c r="S403" s="95"/>
      <c r="T403" s="95"/>
      <c r="U403" s="95"/>
      <c r="V403" s="95"/>
      <c r="W403" s="95"/>
      <c r="X403" s="95"/>
      <c r="Y403" s="95"/>
      <c r="Z403" s="95"/>
    </row>
    <row r="404" ht="15.75" customHeight="1" spans="1:26">
      <c r="A404" s="95">
        <f>dados_01!A404</f>
        <v>0</v>
      </c>
      <c r="B404" s="95">
        <f>dados_01!B404</f>
        <v>0</v>
      </c>
      <c r="C404" s="95" t="str">
        <f>IFERROR(__xludf.DUMMYFUNCTION("JOIN("". "", ARRAYFORMULA(IFERROR(LEFT(SPLIT(dados_01!C404, "" ""), 1))))"),"")</f>
        <v/>
      </c>
      <c r="D404" s="95">
        <f>dados_01!D404</f>
        <v>0</v>
      </c>
      <c r="E404" s="95" t="str">
        <f>CONCATENATE(LEFT(dados_01!E404,3),REPT("*",6),RIGHT(dados_01!E404,2))</f>
        <v>******</v>
      </c>
      <c r="F404" s="95">
        <f>dados_01!F404</f>
        <v>0</v>
      </c>
      <c r="G404" s="95">
        <f>dados_01!G404</f>
        <v>0</v>
      </c>
      <c r="H404" s="95">
        <f>dados_01!H404</f>
        <v>0</v>
      </c>
      <c r="I404" s="95">
        <f>dados_01!I404</f>
        <v>0</v>
      </c>
      <c r="J404" s="95"/>
      <c r="K404" s="95"/>
      <c r="L404" s="95"/>
      <c r="M404" s="95"/>
      <c r="N404" s="95"/>
      <c r="O404" s="95"/>
      <c r="P404" s="95"/>
      <c r="Q404" s="95"/>
      <c r="R404" s="95"/>
      <c r="S404" s="95"/>
      <c r="T404" s="95"/>
      <c r="U404" s="95"/>
      <c r="V404" s="95"/>
      <c r="W404" s="95"/>
      <c r="X404" s="95"/>
      <c r="Y404" s="95"/>
      <c r="Z404" s="95"/>
    </row>
    <row r="405" ht="15.75" customHeight="1" spans="1:26">
      <c r="A405" s="95">
        <f>dados_01!A405</f>
        <v>0</v>
      </c>
      <c r="B405" s="95">
        <f>dados_01!B405</f>
        <v>0</v>
      </c>
      <c r="C405" s="95" t="str">
        <f>IFERROR(__xludf.DUMMYFUNCTION("JOIN("". "", ARRAYFORMULA(IFERROR(LEFT(SPLIT(dados_01!C405, "" ""), 1))))"),"")</f>
        <v/>
      </c>
      <c r="D405" s="95">
        <f>dados_01!D405</f>
        <v>0</v>
      </c>
      <c r="E405" s="95" t="str">
        <f>CONCATENATE(LEFT(dados_01!E405,3),REPT("*",6),RIGHT(dados_01!E405,2))</f>
        <v>******</v>
      </c>
      <c r="F405" s="95">
        <f>dados_01!F405</f>
        <v>0</v>
      </c>
      <c r="G405" s="95">
        <f>dados_01!G405</f>
        <v>0</v>
      </c>
      <c r="H405" s="95">
        <f>dados_01!H405</f>
        <v>0</v>
      </c>
      <c r="I405" s="95">
        <f>dados_01!I405</f>
        <v>0</v>
      </c>
      <c r="J405" s="95"/>
      <c r="K405" s="95"/>
      <c r="L405" s="95"/>
      <c r="M405" s="95"/>
      <c r="N405" s="95"/>
      <c r="O405" s="95"/>
      <c r="P405" s="95"/>
      <c r="Q405" s="95"/>
      <c r="R405" s="95"/>
      <c r="S405" s="95"/>
      <c r="T405" s="95"/>
      <c r="U405" s="95"/>
      <c r="V405" s="95"/>
      <c r="W405" s="95"/>
      <c r="X405" s="95"/>
      <c r="Y405" s="95"/>
      <c r="Z405" s="95"/>
    </row>
    <row r="406" ht="15.75" customHeight="1" spans="1:26">
      <c r="A406" s="95">
        <f>dados_01!A406</f>
        <v>0</v>
      </c>
      <c r="B406" s="95">
        <f>dados_01!B406</f>
        <v>0</v>
      </c>
      <c r="C406" s="95" t="str">
        <f>IFERROR(__xludf.DUMMYFUNCTION("JOIN("". "", ARRAYFORMULA(IFERROR(LEFT(SPLIT(dados_01!C406, "" ""), 1))))"),"")</f>
        <v/>
      </c>
      <c r="D406" s="95">
        <f>dados_01!D406</f>
        <v>0</v>
      </c>
      <c r="E406" s="95" t="str">
        <f>CONCATENATE(LEFT(dados_01!E406,3),REPT("*",6),RIGHT(dados_01!E406,2))</f>
        <v>******</v>
      </c>
      <c r="F406" s="95">
        <f>dados_01!F406</f>
        <v>0</v>
      </c>
      <c r="G406" s="95">
        <f>dados_01!G406</f>
        <v>0</v>
      </c>
      <c r="H406" s="95">
        <f>dados_01!H406</f>
        <v>0</v>
      </c>
      <c r="I406" s="95">
        <f>dados_01!I406</f>
        <v>0</v>
      </c>
      <c r="J406" s="95"/>
      <c r="K406" s="95"/>
      <c r="L406" s="95"/>
      <c r="M406" s="95"/>
      <c r="N406" s="95"/>
      <c r="O406" s="95"/>
      <c r="P406" s="95"/>
      <c r="Q406" s="95"/>
      <c r="R406" s="95"/>
      <c r="S406" s="95"/>
      <c r="T406" s="95"/>
      <c r="U406" s="95"/>
      <c r="V406" s="95"/>
      <c r="W406" s="95"/>
      <c r="X406" s="95"/>
      <c r="Y406" s="95"/>
      <c r="Z406" s="95"/>
    </row>
    <row r="407" ht="15.75" customHeight="1" spans="1:26">
      <c r="A407" s="95">
        <f>dados_01!A407</f>
        <v>0</v>
      </c>
      <c r="B407" s="95">
        <f>dados_01!B407</f>
        <v>0</v>
      </c>
      <c r="C407" s="95" t="str">
        <f>IFERROR(__xludf.DUMMYFUNCTION("JOIN("". "", ARRAYFORMULA(IFERROR(LEFT(SPLIT(dados_01!C407, "" ""), 1))))"),"")</f>
        <v/>
      </c>
      <c r="D407" s="95">
        <f>dados_01!D407</f>
        <v>0</v>
      </c>
      <c r="E407" s="95" t="str">
        <f>CONCATENATE(LEFT(dados_01!E407,3),REPT("*",6),RIGHT(dados_01!E407,2))</f>
        <v>******</v>
      </c>
      <c r="F407" s="95">
        <f>dados_01!F407</f>
        <v>0</v>
      </c>
      <c r="G407" s="95">
        <f>dados_01!G407</f>
        <v>0</v>
      </c>
      <c r="H407" s="95">
        <f>dados_01!H407</f>
        <v>0</v>
      </c>
      <c r="I407" s="95">
        <f>dados_01!I407</f>
        <v>0</v>
      </c>
      <c r="J407" s="95"/>
      <c r="K407" s="95"/>
      <c r="L407" s="95"/>
      <c r="M407" s="95"/>
      <c r="N407" s="95"/>
      <c r="O407" s="95"/>
      <c r="P407" s="95"/>
      <c r="Q407" s="95"/>
      <c r="R407" s="95"/>
      <c r="S407" s="95"/>
      <c r="T407" s="95"/>
      <c r="U407" s="95"/>
      <c r="V407" s="95"/>
      <c r="W407" s="95"/>
      <c r="X407" s="95"/>
      <c r="Y407" s="95"/>
      <c r="Z407" s="95"/>
    </row>
    <row r="408" ht="15.75" customHeight="1" spans="1:26">
      <c r="A408" s="95">
        <f>dados_01!A408</f>
        <v>0</v>
      </c>
      <c r="B408" s="95">
        <f>dados_01!B408</f>
        <v>0</v>
      </c>
      <c r="C408" s="95" t="str">
        <f>IFERROR(__xludf.DUMMYFUNCTION("JOIN("". "", ARRAYFORMULA(IFERROR(LEFT(SPLIT(dados_01!C408, "" ""), 1))))"),"")</f>
        <v/>
      </c>
      <c r="D408" s="95">
        <f>dados_01!D408</f>
        <v>0</v>
      </c>
      <c r="E408" s="95" t="str">
        <f>CONCATENATE(LEFT(dados_01!E408,3),REPT("*",6),RIGHT(dados_01!E408,2))</f>
        <v>******</v>
      </c>
      <c r="F408" s="95">
        <f>dados_01!F408</f>
        <v>0</v>
      </c>
      <c r="G408" s="95">
        <f>dados_01!G408</f>
        <v>0</v>
      </c>
      <c r="H408" s="95">
        <f>dados_01!H408</f>
        <v>0</v>
      </c>
      <c r="I408" s="95">
        <f>dados_01!I408</f>
        <v>0</v>
      </c>
      <c r="J408" s="95"/>
      <c r="K408" s="95"/>
      <c r="L408" s="95"/>
      <c r="M408" s="95"/>
      <c r="N408" s="95"/>
      <c r="O408" s="95"/>
      <c r="P408" s="95"/>
      <c r="Q408" s="95"/>
      <c r="R408" s="95"/>
      <c r="S408" s="95"/>
      <c r="T408" s="95"/>
      <c r="U408" s="95"/>
      <c r="V408" s="95"/>
      <c r="W408" s="95"/>
      <c r="X408" s="95"/>
      <c r="Y408" s="95"/>
      <c r="Z408" s="95"/>
    </row>
    <row r="409" ht="15.75" customHeight="1" spans="1:26">
      <c r="A409" s="95">
        <f>dados_01!A409</f>
        <v>0</v>
      </c>
      <c r="B409" s="95">
        <f>dados_01!B409</f>
        <v>0</v>
      </c>
      <c r="C409" s="95" t="str">
        <f>IFERROR(__xludf.DUMMYFUNCTION("JOIN("". "", ARRAYFORMULA(IFERROR(LEFT(SPLIT(dados_01!C409, "" ""), 1))))"),"")</f>
        <v/>
      </c>
      <c r="D409" s="95">
        <f>dados_01!D409</f>
        <v>0</v>
      </c>
      <c r="E409" s="95" t="str">
        <f>CONCATENATE(LEFT(dados_01!E409,3),REPT("*",6),RIGHT(dados_01!E409,2))</f>
        <v>******</v>
      </c>
      <c r="F409" s="95">
        <f>dados_01!F409</f>
        <v>0</v>
      </c>
      <c r="G409" s="95">
        <f>dados_01!G409</f>
        <v>0</v>
      </c>
      <c r="H409" s="95">
        <f>dados_01!H409</f>
        <v>0</v>
      </c>
      <c r="I409" s="95">
        <f>dados_01!I409</f>
        <v>0</v>
      </c>
      <c r="J409" s="95"/>
      <c r="K409" s="95"/>
      <c r="L409" s="95"/>
      <c r="M409" s="95"/>
      <c r="N409" s="95"/>
      <c r="O409" s="95"/>
      <c r="P409" s="95"/>
      <c r="Q409" s="95"/>
      <c r="R409" s="95"/>
      <c r="S409" s="95"/>
      <c r="T409" s="95"/>
      <c r="U409" s="95"/>
      <c r="V409" s="95"/>
      <c r="W409" s="95"/>
      <c r="X409" s="95"/>
      <c r="Y409" s="95"/>
      <c r="Z409" s="95"/>
    </row>
    <row r="410" ht="15.75" customHeight="1" spans="1:26">
      <c r="A410" s="95">
        <f>dados_01!A410</f>
        <v>0</v>
      </c>
      <c r="B410" s="95">
        <f>dados_01!B410</f>
        <v>0</v>
      </c>
      <c r="C410" s="95" t="str">
        <f>IFERROR(__xludf.DUMMYFUNCTION("JOIN("". "", ARRAYFORMULA(IFERROR(LEFT(SPLIT(dados_01!C410, "" ""), 1))))"),"")</f>
        <v/>
      </c>
      <c r="D410" s="95">
        <f>dados_01!D410</f>
        <v>0</v>
      </c>
      <c r="E410" s="95" t="str">
        <f>CONCATENATE(LEFT(dados_01!E410,3),REPT("*",6),RIGHT(dados_01!E410,2))</f>
        <v>******</v>
      </c>
      <c r="F410" s="95">
        <f>dados_01!F410</f>
        <v>0</v>
      </c>
      <c r="G410" s="95">
        <f>dados_01!G410</f>
        <v>0</v>
      </c>
      <c r="H410" s="95">
        <f>dados_01!H410</f>
        <v>0</v>
      </c>
      <c r="I410" s="95">
        <f>dados_01!I410</f>
        <v>0</v>
      </c>
      <c r="J410" s="95"/>
      <c r="K410" s="95"/>
      <c r="L410" s="95"/>
      <c r="M410" s="95"/>
      <c r="N410" s="95"/>
      <c r="O410" s="95"/>
      <c r="P410" s="95"/>
      <c r="Q410" s="95"/>
      <c r="R410" s="95"/>
      <c r="S410" s="95"/>
      <c r="T410" s="95"/>
      <c r="U410" s="95"/>
      <c r="V410" s="95"/>
      <c r="W410" s="95"/>
      <c r="X410" s="95"/>
      <c r="Y410" s="95"/>
      <c r="Z410" s="95"/>
    </row>
    <row r="411" ht="15.75" customHeight="1" spans="1:26">
      <c r="A411" s="95">
        <f>dados_01!A411</f>
        <v>0</v>
      </c>
      <c r="B411" s="95">
        <f>dados_01!B411</f>
        <v>0</v>
      </c>
      <c r="C411" s="95" t="str">
        <f>IFERROR(__xludf.DUMMYFUNCTION("JOIN("". "", ARRAYFORMULA(IFERROR(LEFT(SPLIT(dados_01!C411, "" ""), 1))))"),"")</f>
        <v/>
      </c>
      <c r="D411" s="95">
        <f>dados_01!D411</f>
        <v>0</v>
      </c>
      <c r="E411" s="95" t="str">
        <f>CONCATENATE(LEFT(dados_01!E411,3),REPT("*",6),RIGHT(dados_01!E411,2))</f>
        <v>******</v>
      </c>
      <c r="F411" s="95">
        <f>dados_01!F411</f>
        <v>0</v>
      </c>
      <c r="G411" s="95">
        <f>dados_01!G411</f>
        <v>0</v>
      </c>
      <c r="H411" s="95">
        <f>dados_01!H411</f>
        <v>0</v>
      </c>
      <c r="I411" s="95">
        <f>dados_01!I411</f>
        <v>0</v>
      </c>
      <c r="J411" s="95"/>
      <c r="K411" s="95"/>
      <c r="L411" s="95"/>
      <c r="M411" s="95"/>
      <c r="N411" s="95"/>
      <c r="O411" s="95"/>
      <c r="P411" s="95"/>
      <c r="Q411" s="95"/>
      <c r="R411" s="95"/>
      <c r="S411" s="95"/>
      <c r="T411" s="95"/>
      <c r="U411" s="95"/>
      <c r="V411" s="95"/>
      <c r="W411" s="95"/>
      <c r="X411" s="95"/>
      <c r="Y411" s="95"/>
      <c r="Z411" s="95"/>
    </row>
    <row r="412" ht="15.75" customHeight="1" spans="1:26">
      <c r="A412" s="95">
        <f>dados_01!A412</f>
        <v>0</v>
      </c>
      <c r="B412" s="95">
        <f>dados_01!B412</f>
        <v>0</v>
      </c>
      <c r="C412" s="95" t="str">
        <f>IFERROR(__xludf.DUMMYFUNCTION("JOIN("". "", ARRAYFORMULA(IFERROR(LEFT(SPLIT(dados_01!C412, "" ""), 1))))"),"")</f>
        <v/>
      </c>
      <c r="D412" s="95">
        <f>dados_01!D412</f>
        <v>0</v>
      </c>
      <c r="E412" s="95" t="str">
        <f>CONCATENATE(LEFT(dados_01!E412,3),REPT("*",6),RIGHT(dados_01!E412,2))</f>
        <v>******</v>
      </c>
      <c r="F412" s="95">
        <f>dados_01!F412</f>
        <v>0</v>
      </c>
      <c r="G412" s="95">
        <f>dados_01!G412</f>
        <v>0</v>
      </c>
      <c r="H412" s="95">
        <f>dados_01!H412</f>
        <v>0</v>
      </c>
      <c r="I412" s="95">
        <f>dados_01!I412</f>
        <v>0</v>
      </c>
      <c r="J412" s="95"/>
      <c r="K412" s="95"/>
      <c r="L412" s="95"/>
      <c r="M412" s="95"/>
      <c r="N412" s="95"/>
      <c r="O412" s="95"/>
      <c r="P412" s="95"/>
      <c r="Q412" s="95"/>
      <c r="R412" s="95"/>
      <c r="S412" s="95"/>
      <c r="T412" s="95"/>
      <c r="U412" s="95"/>
      <c r="V412" s="95"/>
      <c r="W412" s="95"/>
      <c r="X412" s="95"/>
      <c r="Y412" s="95"/>
      <c r="Z412" s="95"/>
    </row>
    <row r="413" ht="15.75" customHeight="1" spans="1:26">
      <c r="A413" s="95">
        <f>dados_01!A413</f>
        <v>0</v>
      </c>
      <c r="B413" s="95">
        <f>dados_01!B413</f>
        <v>0</v>
      </c>
      <c r="C413" s="95" t="str">
        <f>IFERROR(__xludf.DUMMYFUNCTION("JOIN("". "", ARRAYFORMULA(IFERROR(LEFT(SPLIT(dados_01!C413, "" ""), 1))))"),"")</f>
        <v/>
      </c>
      <c r="D413" s="95">
        <f>dados_01!D413</f>
        <v>0</v>
      </c>
      <c r="E413" s="95" t="str">
        <f>CONCATENATE(LEFT(dados_01!E413,3),REPT("*",6),RIGHT(dados_01!E413,2))</f>
        <v>******</v>
      </c>
      <c r="F413" s="95">
        <f>dados_01!F413</f>
        <v>0</v>
      </c>
      <c r="G413" s="95">
        <f>dados_01!G413</f>
        <v>0</v>
      </c>
      <c r="H413" s="95">
        <f>dados_01!H413</f>
        <v>0</v>
      </c>
      <c r="I413" s="95">
        <f>dados_01!I413</f>
        <v>0</v>
      </c>
      <c r="J413" s="95"/>
      <c r="K413" s="95"/>
      <c r="L413" s="95"/>
      <c r="M413" s="95"/>
      <c r="N413" s="95"/>
      <c r="O413" s="95"/>
      <c r="P413" s="95"/>
      <c r="Q413" s="95"/>
      <c r="R413" s="95"/>
      <c r="S413" s="95"/>
      <c r="T413" s="95"/>
      <c r="U413" s="95"/>
      <c r="V413" s="95"/>
      <c r="W413" s="95"/>
      <c r="X413" s="95"/>
      <c r="Y413" s="95"/>
      <c r="Z413" s="95"/>
    </row>
    <row r="414" ht="15.75" customHeight="1" spans="1:26">
      <c r="A414" s="95">
        <f>dados_01!A414</f>
        <v>0</v>
      </c>
      <c r="B414" s="95">
        <f>dados_01!B414</f>
        <v>0</v>
      </c>
      <c r="C414" s="95" t="str">
        <f>IFERROR(__xludf.DUMMYFUNCTION("JOIN("". "", ARRAYFORMULA(IFERROR(LEFT(SPLIT(dados_01!C414, "" ""), 1))))"),"")</f>
        <v/>
      </c>
      <c r="D414" s="95">
        <f>dados_01!D414</f>
        <v>0</v>
      </c>
      <c r="E414" s="95" t="str">
        <f>CONCATENATE(LEFT(dados_01!E414,3),REPT("*",6),RIGHT(dados_01!E414,2))</f>
        <v>******</v>
      </c>
      <c r="F414" s="95">
        <f>dados_01!F414</f>
        <v>0</v>
      </c>
      <c r="G414" s="95">
        <f>dados_01!G414</f>
        <v>0</v>
      </c>
      <c r="H414" s="95">
        <f>dados_01!H414</f>
        <v>0</v>
      </c>
      <c r="I414" s="95">
        <f>dados_01!I414</f>
        <v>0</v>
      </c>
      <c r="J414" s="95"/>
      <c r="K414" s="95"/>
      <c r="L414" s="95"/>
      <c r="M414" s="95"/>
      <c r="N414" s="95"/>
      <c r="O414" s="95"/>
      <c r="P414" s="95"/>
      <c r="Q414" s="95"/>
      <c r="R414" s="95"/>
      <c r="S414" s="95"/>
      <c r="T414" s="95"/>
      <c r="U414" s="95"/>
      <c r="V414" s="95"/>
      <c r="W414" s="95"/>
      <c r="X414" s="95"/>
      <c r="Y414" s="95"/>
      <c r="Z414" s="95"/>
    </row>
    <row r="415" ht="15.75" customHeight="1" spans="1:26">
      <c r="A415" s="95">
        <f>dados_01!A415</f>
        <v>0</v>
      </c>
      <c r="B415" s="95">
        <f>dados_01!B415</f>
        <v>0</v>
      </c>
      <c r="C415" s="95" t="str">
        <f>IFERROR(__xludf.DUMMYFUNCTION("JOIN("". "", ARRAYFORMULA(IFERROR(LEFT(SPLIT(dados_01!C415, "" ""), 1))))"),"")</f>
        <v/>
      </c>
      <c r="D415" s="95">
        <f>dados_01!D415</f>
        <v>0</v>
      </c>
      <c r="E415" s="95" t="str">
        <f>CONCATENATE(LEFT(dados_01!E415,3),REPT("*",6),RIGHT(dados_01!E415,2))</f>
        <v>******</v>
      </c>
      <c r="F415" s="95">
        <f>dados_01!F415</f>
        <v>0</v>
      </c>
      <c r="G415" s="95">
        <f>dados_01!G415</f>
        <v>0</v>
      </c>
      <c r="H415" s="95">
        <f>dados_01!H415</f>
        <v>0</v>
      </c>
      <c r="I415" s="95">
        <f>dados_01!I415</f>
        <v>0</v>
      </c>
      <c r="J415" s="95"/>
      <c r="K415" s="95"/>
      <c r="L415" s="95"/>
      <c r="M415" s="95"/>
      <c r="N415" s="95"/>
      <c r="O415" s="95"/>
      <c r="P415" s="95"/>
      <c r="Q415" s="95"/>
      <c r="R415" s="95"/>
      <c r="S415" s="95"/>
      <c r="T415" s="95"/>
      <c r="U415" s="95"/>
      <c r="V415" s="95"/>
      <c r="W415" s="95"/>
      <c r="X415" s="95"/>
      <c r="Y415" s="95"/>
      <c r="Z415" s="95"/>
    </row>
    <row r="416" ht="15.75" customHeight="1" spans="1:26">
      <c r="A416" s="95">
        <f>dados_01!A416</f>
        <v>0</v>
      </c>
      <c r="B416" s="95">
        <f>dados_01!B416</f>
        <v>0</v>
      </c>
      <c r="C416" s="95" t="str">
        <f>IFERROR(__xludf.DUMMYFUNCTION("JOIN("". "", ARRAYFORMULA(IFERROR(LEFT(SPLIT(dados_01!C416, "" ""), 1))))"),"")</f>
        <v/>
      </c>
      <c r="D416" s="95">
        <f>dados_01!D416</f>
        <v>0</v>
      </c>
      <c r="E416" s="95" t="str">
        <f>CONCATENATE(LEFT(dados_01!E416,3),REPT("*",6),RIGHT(dados_01!E416,2))</f>
        <v>******</v>
      </c>
      <c r="F416" s="95">
        <f>dados_01!F416</f>
        <v>0</v>
      </c>
      <c r="G416" s="95">
        <f>dados_01!G416</f>
        <v>0</v>
      </c>
      <c r="H416" s="95">
        <f>dados_01!H416</f>
        <v>0</v>
      </c>
      <c r="I416" s="95">
        <f>dados_01!I416</f>
        <v>0</v>
      </c>
      <c r="J416" s="95"/>
      <c r="K416" s="95"/>
      <c r="L416" s="95"/>
      <c r="M416" s="95"/>
      <c r="N416" s="95"/>
      <c r="O416" s="95"/>
      <c r="P416" s="95"/>
      <c r="Q416" s="95"/>
      <c r="R416" s="95"/>
      <c r="S416" s="95"/>
      <c r="T416" s="95"/>
      <c r="U416" s="95"/>
      <c r="V416" s="95"/>
      <c r="W416" s="95"/>
      <c r="X416" s="95"/>
      <c r="Y416" s="95"/>
      <c r="Z416" s="95"/>
    </row>
    <row r="417" ht="15.75" customHeight="1" spans="1:26">
      <c r="A417" s="95">
        <f>dados_01!A417</f>
        <v>0</v>
      </c>
      <c r="B417" s="95">
        <f>dados_01!B417</f>
        <v>0</v>
      </c>
      <c r="C417" s="95" t="str">
        <f>IFERROR(__xludf.DUMMYFUNCTION("JOIN("". "", ARRAYFORMULA(IFERROR(LEFT(SPLIT(dados_01!C417, "" ""), 1))))"),"")</f>
        <v/>
      </c>
      <c r="D417" s="95">
        <f>dados_01!D417</f>
        <v>0</v>
      </c>
      <c r="E417" s="95" t="str">
        <f>CONCATENATE(LEFT(dados_01!E417,3),REPT("*",6),RIGHT(dados_01!E417,2))</f>
        <v>******</v>
      </c>
      <c r="F417" s="95">
        <f>dados_01!F417</f>
        <v>0</v>
      </c>
      <c r="G417" s="95">
        <f>dados_01!G417</f>
        <v>0</v>
      </c>
      <c r="H417" s="95">
        <f>dados_01!H417</f>
        <v>0</v>
      </c>
      <c r="I417" s="95">
        <f>dados_01!I417</f>
        <v>0</v>
      </c>
      <c r="J417" s="95"/>
      <c r="K417" s="95"/>
      <c r="L417" s="95"/>
      <c r="M417" s="95"/>
      <c r="N417" s="95"/>
      <c r="O417" s="95"/>
      <c r="P417" s="95"/>
      <c r="Q417" s="95"/>
      <c r="R417" s="95"/>
      <c r="S417" s="95"/>
      <c r="T417" s="95"/>
      <c r="U417" s="95"/>
      <c r="V417" s="95"/>
      <c r="W417" s="95"/>
      <c r="X417" s="95"/>
      <c r="Y417" s="95"/>
      <c r="Z417" s="95"/>
    </row>
    <row r="418" ht="15.75" customHeight="1" spans="1:26">
      <c r="A418" s="95">
        <f>dados_01!A418</f>
        <v>0</v>
      </c>
      <c r="B418" s="95">
        <f>dados_01!B418</f>
        <v>0</v>
      </c>
      <c r="C418" s="95" t="str">
        <f>IFERROR(__xludf.DUMMYFUNCTION("JOIN("". "", ARRAYFORMULA(IFERROR(LEFT(SPLIT(dados_01!C418, "" ""), 1))))"),"")</f>
        <v/>
      </c>
      <c r="D418" s="95">
        <f>dados_01!D418</f>
        <v>0</v>
      </c>
      <c r="E418" s="95" t="str">
        <f>CONCATENATE(LEFT(dados_01!E418,3),REPT("*",6),RIGHT(dados_01!E418,2))</f>
        <v>******</v>
      </c>
      <c r="F418" s="95">
        <f>dados_01!F418</f>
        <v>0</v>
      </c>
      <c r="G418" s="95">
        <f>dados_01!G418</f>
        <v>0</v>
      </c>
      <c r="H418" s="95">
        <f>dados_01!H418</f>
        <v>0</v>
      </c>
      <c r="I418" s="95">
        <f>dados_01!I418</f>
        <v>0</v>
      </c>
      <c r="J418" s="95"/>
      <c r="K418" s="95"/>
      <c r="L418" s="95"/>
      <c r="M418" s="95"/>
      <c r="N418" s="95"/>
      <c r="O418" s="95"/>
      <c r="P418" s="95"/>
      <c r="Q418" s="95"/>
      <c r="R418" s="95"/>
      <c r="S418" s="95"/>
      <c r="T418" s="95"/>
      <c r="U418" s="95"/>
      <c r="V418" s="95"/>
      <c r="W418" s="95"/>
      <c r="X418" s="95"/>
      <c r="Y418" s="95"/>
      <c r="Z418" s="95"/>
    </row>
    <row r="419" ht="15.75" customHeight="1" spans="1:26">
      <c r="A419" s="95">
        <f>dados_01!A419</f>
        <v>0</v>
      </c>
      <c r="B419" s="95">
        <f>dados_01!B419</f>
        <v>0</v>
      </c>
      <c r="C419" s="95" t="str">
        <f>IFERROR(__xludf.DUMMYFUNCTION("JOIN("". "", ARRAYFORMULA(IFERROR(LEFT(SPLIT(dados_01!C419, "" ""), 1))))"),"")</f>
        <v/>
      </c>
      <c r="D419" s="95">
        <f>dados_01!D419</f>
        <v>0</v>
      </c>
      <c r="E419" s="95" t="str">
        <f>CONCATENATE(LEFT(dados_01!E419,3),REPT("*",6),RIGHT(dados_01!E419,2))</f>
        <v>******</v>
      </c>
      <c r="F419" s="95">
        <f>dados_01!F419</f>
        <v>0</v>
      </c>
      <c r="G419" s="95">
        <f>dados_01!G419</f>
        <v>0</v>
      </c>
      <c r="H419" s="95">
        <f>dados_01!H419</f>
        <v>0</v>
      </c>
      <c r="I419" s="95">
        <f>dados_01!I419</f>
        <v>0</v>
      </c>
      <c r="J419" s="95"/>
      <c r="K419" s="95"/>
      <c r="L419" s="95"/>
      <c r="M419" s="95"/>
      <c r="N419" s="95"/>
      <c r="O419" s="95"/>
      <c r="P419" s="95"/>
      <c r="Q419" s="95"/>
      <c r="R419" s="95"/>
      <c r="S419" s="95"/>
      <c r="T419" s="95"/>
      <c r="U419" s="95"/>
      <c r="V419" s="95"/>
      <c r="W419" s="95"/>
      <c r="X419" s="95"/>
      <c r="Y419" s="95"/>
      <c r="Z419" s="95"/>
    </row>
    <row r="420" ht="15.75" customHeight="1" spans="1:26">
      <c r="A420" s="95">
        <f>dados_01!A420</f>
        <v>0</v>
      </c>
      <c r="B420" s="95">
        <f>dados_01!B420</f>
        <v>0</v>
      </c>
      <c r="C420" s="95" t="str">
        <f>IFERROR(__xludf.DUMMYFUNCTION("JOIN("". "", ARRAYFORMULA(IFERROR(LEFT(SPLIT(dados_01!C420, "" ""), 1))))"),"")</f>
        <v/>
      </c>
      <c r="D420" s="95">
        <f>dados_01!D420</f>
        <v>0</v>
      </c>
      <c r="E420" s="95" t="str">
        <f>CONCATENATE(LEFT(dados_01!E420,3),REPT("*",6),RIGHT(dados_01!E420,2))</f>
        <v>******</v>
      </c>
      <c r="F420" s="95">
        <f>dados_01!F420</f>
        <v>0</v>
      </c>
      <c r="G420" s="95">
        <f>dados_01!G420</f>
        <v>0</v>
      </c>
      <c r="H420" s="95">
        <f>dados_01!H420</f>
        <v>0</v>
      </c>
      <c r="I420" s="95">
        <f>dados_01!I420</f>
        <v>0</v>
      </c>
      <c r="J420" s="95"/>
      <c r="K420" s="95"/>
      <c r="L420" s="95"/>
      <c r="M420" s="95"/>
      <c r="N420" s="95"/>
      <c r="O420" s="95"/>
      <c r="P420" s="95"/>
      <c r="Q420" s="95"/>
      <c r="R420" s="95"/>
      <c r="S420" s="95"/>
      <c r="T420" s="95"/>
      <c r="U420" s="95"/>
      <c r="V420" s="95"/>
      <c r="W420" s="95"/>
      <c r="X420" s="95"/>
      <c r="Y420" s="95"/>
      <c r="Z420" s="95"/>
    </row>
    <row r="421" ht="15.75" customHeight="1" spans="1:26">
      <c r="A421" s="95">
        <f>dados_01!A421</f>
        <v>0</v>
      </c>
      <c r="B421" s="95">
        <f>dados_01!B421</f>
        <v>0</v>
      </c>
      <c r="C421" s="95" t="str">
        <f>IFERROR(__xludf.DUMMYFUNCTION("JOIN("". "", ARRAYFORMULA(IFERROR(LEFT(SPLIT(dados_01!C421, "" ""), 1))))"),"")</f>
        <v/>
      </c>
      <c r="D421" s="95">
        <f>dados_01!D421</f>
        <v>0</v>
      </c>
      <c r="E421" s="95" t="str">
        <f>CONCATENATE(LEFT(dados_01!E421,3),REPT("*",6),RIGHT(dados_01!E421,2))</f>
        <v>******</v>
      </c>
      <c r="F421" s="95">
        <f>dados_01!F421</f>
        <v>0</v>
      </c>
      <c r="G421" s="95">
        <f>dados_01!G421</f>
        <v>0</v>
      </c>
      <c r="H421" s="95">
        <f>dados_01!H421</f>
        <v>0</v>
      </c>
      <c r="I421" s="95">
        <f>dados_01!I421</f>
        <v>0</v>
      </c>
      <c r="J421" s="95"/>
      <c r="K421" s="95"/>
      <c r="L421" s="95"/>
      <c r="M421" s="95"/>
      <c r="N421" s="95"/>
      <c r="O421" s="95"/>
      <c r="P421" s="95"/>
      <c r="Q421" s="95"/>
      <c r="R421" s="95"/>
      <c r="S421" s="95"/>
      <c r="T421" s="95"/>
      <c r="U421" s="95"/>
      <c r="V421" s="95"/>
      <c r="W421" s="95"/>
      <c r="X421" s="95"/>
      <c r="Y421" s="95"/>
      <c r="Z421" s="95"/>
    </row>
    <row r="422" ht="15.75" customHeight="1" spans="1:26">
      <c r="A422" s="95">
        <f>dados_01!A422</f>
        <v>0</v>
      </c>
      <c r="B422" s="95">
        <f>dados_01!B422</f>
        <v>0</v>
      </c>
      <c r="C422" s="95" t="str">
        <f>IFERROR(__xludf.DUMMYFUNCTION("JOIN("". "", ARRAYFORMULA(IFERROR(LEFT(SPLIT(dados_01!C422, "" ""), 1))))"),"")</f>
        <v/>
      </c>
      <c r="D422" s="95">
        <f>dados_01!D422</f>
        <v>0</v>
      </c>
      <c r="E422" s="95" t="str">
        <f>CONCATENATE(LEFT(dados_01!E422,3),REPT("*",6),RIGHT(dados_01!E422,2))</f>
        <v>******</v>
      </c>
      <c r="F422" s="95">
        <f>dados_01!F422</f>
        <v>0</v>
      </c>
      <c r="G422" s="95">
        <f>dados_01!G422</f>
        <v>0</v>
      </c>
      <c r="H422" s="95">
        <f>dados_01!H422</f>
        <v>0</v>
      </c>
      <c r="I422" s="95">
        <f>dados_01!I422</f>
        <v>0</v>
      </c>
      <c r="J422" s="95"/>
      <c r="K422" s="95"/>
      <c r="L422" s="95"/>
      <c r="M422" s="95"/>
      <c r="N422" s="95"/>
      <c r="O422" s="95"/>
      <c r="P422" s="95"/>
      <c r="Q422" s="95"/>
      <c r="R422" s="95"/>
      <c r="S422" s="95"/>
      <c r="T422" s="95"/>
      <c r="U422" s="95"/>
      <c r="V422" s="95"/>
      <c r="W422" s="95"/>
      <c r="X422" s="95"/>
      <c r="Y422" s="95"/>
      <c r="Z422" s="95"/>
    </row>
    <row r="423" ht="15.75" customHeight="1" spans="1:26">
      <c r="A423" s="95">
        <f>dados_01!A423</f>
        <v>0</v>
      </c>
      <c r="B423" s="95">
        <f>dados_01!B423</f>
        <v>0</v>
      </c>
      <c r="C423" s="95" t="str">
        <f>IFERROR(__xludf.DUMMYFUNCTION("JOIN("". "", ARRAYFORMULA(IFERROR(LEFT(SPLIT(dados_01!C423, "" ""), 1))))"),"")</f>
        <v/>
      </c>
      <c r="D423" s="95">
        <f>dados_01!D423</f>
        <v>0</v>
      </c>
      <c r="E423" s="95" t="str">
        <f>CONCATENATE(LEFT(dados_01!E423,3),REPT("*",6),RIGHT(dados_01!E423,2))</f>
        <v>******</v>
      </c>
      <c r="F423" s="95">
        <f>dados_01!F423</f>
        <v>0</v>
      </c>
      <c r="G423" s="95">
        <f>dados_01!G423</f>
        <v>0</v>
      </c>
      <c r="H423" s="95">
        <f>dados_01!H423</f>
        <v>0</v>
      </c>
      <c r="I423" s="95">
        <f>dados_01!I423</f>
        <v>0</v>
      </c>
      <c r="J423" s="95"/>
      <c r="K423" s="95"/>
      <c r="L423" s="95"/>
      <c r="M423" s="95"/>
      <c r="N423" s="95"/>
      <c r="O423" s="95"/>
      <c r="P423" s="95"/>
      <c r="Q423" s="95"/>
      <c r="R423" s="95"/>
      <c r="S423" s="95"/>
      <c r="T423" s="95"/>
      <c r="U423" s="95"/>
      <c r="V423" s="95"/>
      <c r="W423" s="95"/>
      <c r="X423" s="95"/>
      <c r="Y423" s="95"/>
      <c r="Z423" s="95"/>
    </row>
    <row r="424" ht="15.75" customHeight="1" spans="1:26">
      <c r="A424" s="95">
        <f>dados_01!A424</f>
        <v>0</v>
      </c>
      <c r="B424" s="95">
        <f>dados_01!B424</f>
        <v>0</v>
      </c>
      <c r="C424" s="95" t="str">
        <f>IFERROR(__xludf.DUMMYFUNCTION("JOIN("". "", ARRAYFORMULA(IFERROR(LEFT(SPLIT(dados_01!C424, "" ""), 1))))"),"")</f>
        <v/>
      </c>
      <c r="D424" s="95">
        <f>dados_01!D424</f>
        <v>0</v>
      </c>
      <c r="E424" s="95" t="str">
        <f>CONCATENATE(LEFT(dados_01!E424,3),REPT("*",6),RIGHT(dados_01!E424,2))</f>
        <v>******</v>
      </c>
      <c r="F424" s="95">
        <f>dados_01!F424</f>
        <v>0</v>
      </c>
      <c r="G424" s="95">
        <f>dados_01!G424</f>
        <v>0</v>
      </c>
      <c r="H424" s="95">
        <f>dados_01!H424</f>
        <v>0</v>
      </c>
      <c r="I424" s="95">
        <f>dados_01!I424</f>
        <v>0</v>
      </c>
      <c r="J424" s="95"/>
      <c r="K424" s="95"/>
      <c r="L424" s="95"/>
      <c r="M424" s="95"/>
      <c r="N424" s="95"/>
      <c r="O424" s="95"/>
      <c r="P424" s="95"/>
      <c r="Q424" s="95"/>
      <c r="R424" s="95"/>
      <c r="S424" s="95"/>
      <c r="T424" s="95"/>
      <c r="U424" s="95"/>
      <c r="V424" s="95"/>
      <c r="W424" s="95"/>
      <c r="X424" s="95"/>
      <c r="Y424" s="95"/>
      <c r="Z424" s="95"/>
    </row>
    <row r="425" ht="15.75" customHeight="1" spans="1:26">
      <c r="A425" s="95">
        <f>dados_01!A425</f>
        <v>0</v>
      </c>
      <c r="B425" s="95">
        <f>dados_01!B425</f>
        <v>0</v>
      </c>
      <c r="C425" s="95" t="str">
        <f>IFERROR(__xludf.DUMMYFUNCTION("JOIN("". "", ARRAYFORMULA(IFERROR(LEFT(SPLIT(dados_01!C425, "" ""), 1))))"),"")</f>
        <v/>
      </c>
      <c r="D425" s="95">
        <f>dados_01!D425</f>
        <v>0</v>
      </c>
      <c r="E425" s="95" t="str">
        <f>CONCATENATE(LEFT(dados_01!E425,3),REPT("*",6),RIGHT(dados_01!E425,2))</f>
        <v>******</v>
      </c>
      <c r="F425" s="95">
        <f>dados_01!F425</f>
        <v>0</v>
      </c>
      <c r="G425" s="95">
        <f>dados_01!G425</f>
        <v>0</v>
      </c>
      <c r="H425" s="95">
        <f>dados_01!H425</f>
        <v>0</v>
      </c>
      <c r="I425" s="95">
        <f>dados_01!I425</f>
        <v>0</v>
      </c>
      <c r="J425" s="95"/>
      <c r="K425" s="95"/>
      <c r="L425" s="95"/>
      <c r="M425" s="95"/>
      <c r="N425" s="95"/>
      <c r="O425" s="95"/>
      <c r="P425" s="95"/>
      <c r="Q425" s="95"/>
      <c r="R425" s="95"/>
      <c r="S425" s="95"/>
      <c r="T425" s="95"/>
      <c r="U425" s="95"/>
      <c r="V425" s="95"/>
      <c r="W425" s="95"/>
      <c r="X425" s="95"/>
      <c r="Y425" s="95"/>
      <c r="Z425" s="95"/>
    </row>
    <row r="426" ht="15.75" customHeight="1" spans="1:26">
      <c r="A426" s="95">
        <f>dados_01!A426</f>
        <v>0</v>
      </c>
      <c r="B426" s="95">
        <f>dados_01!B426</f>
        <v>0</v>
      </c>
      <c r="C426" s="95" t="str">
        <f>IFERROR(__xludf.DUMMYFUNCTION("JOIN("". "", ARRAYFORMULA(IFERROR(LEFT(SPLIT(dados_01!C426, "" ""), 1))))"),"")</f>
        <v/>
      </c>
      <c r="D426" s="95">
        <f>dados_01!D426</f>
        <v>0</v>
      </c>
      <c r="E426" s="95" t="str">
        <f>CONCATENATE(LEFT(dados_01!E426,3),REPT("*",6),RIGHT(dados_01!E426,2))</f>
        <v>******</v>
      </c>
      <c r="F426" s="95">
        <f>dados_01!F426</f>
        <v>0</v>
      </c>
      <c r="G426" s="95">
        <f>dados_01!G426</f>
        <v>0</v>
      </c>
      <c r="H426" s="95">
        <f>dados_01!H426</f>
        <v>0</v>
      </c>
      <c r="I426" s="95">
        <f>dados_01!I426</f>
        <v>0</v>
      </c>
      <c r="J426" s="95"/>
      <c r="K426" s="95"/>
      <c r="L426" s="95"/>
      <c r="M426" s="95"/>
      <c r="N426" s="95"/>
      <c r="O426" s="95"/>
      <c r="P426" s="95"/>
      <c r="Q426" s="95"/>
      <c r="R426" s="95"/>
      <c r="S426" s="95"/>
      <c r="T426" s="95"/>
      <c r="U426" s="95"/>
      <c r="V426" s="95"/>
      <c r="W426" s="95"/>
      <c r="X426" s="95"/>
      <c r="Y426" s="95"/>
      <c r="Z426" s="95"/>
    </row>
    <row r="427" ht="15.75" customHeight="1" spans="1:26">
      <c r="A427" s="95">
        <f>dados_01!A427</f>
        <v>0</v>
      </c>
      <c r="B427" s="95">
        <f>dados_01!B427</f>
        <v>0</v>
      </c>
      <c r="C427" s="95" t="str">
        <f>IFERROR(__xludf.DUMMYFUNCTION("JOIN("". "", ARRAYFORMULA(IFERROR(LEFT(SPLIT(dados_01!C427, "" ""), 1))))"),"")</f>
        <v/>
      </c>
      <c r="D427" s="95">
        <f>dados_01!D427</f>
        <v>0</v>
      </c>
      <c r="E427" s="95" t="str">
        <f>CONCATENATE(LEFT(dados_01!E427,3),REPT("*",6),RIGHT(dados_01!E427,2))</f>
        <v>******</v>
      </c>
      <c r="F427" s="95">
        <f>dados_01!F427</f>
        <v>0</v>
      </c>
      <c r="G427" s="95">
        <f>dados_01!G427</f>
        <v>0</v>
      </c>
      <c r="H427" s="95">
        <f>dados_01!H427</f>
        <v>0</v>
      </c>
      <c r="I427" s="95">
        <f>dados_01!I427</f>
        <v>0</v>
      </c>
      <c r="J427" s="95"/>
      <c r="K427" s="95"/>
      <c r="L427" s="95"/>
      <c r="M427" s="95"/>
      <c r="N427" s="95"/>
      <c r="O427" s="95"/>
      <c r="P427" s="95"/>
      <c r="Q427" s="95"/>
      <c r="R427" s="95"/>
      <c r="S427" s="95"/>
      <c r="T427" s="95"/>
      <c r="U427" s="95"/>
      <c r="V427" s="95"/>
      <c r="W427" s="95"/>
      <c r="X427" s="95"/>
      <c r="Y427" s="95"/>
      <c r="Z427" s="95"/>
    </row>
    <row r="428" ht="15.75" customHeight="1" spans="1:26">
      <c r="A428" s="95">
        <f>dados_01!A428</f>
        <v>0</v>
      </c>
      <c r="B428" s="95">
        <f>dados_01!B428</f>
        <v>0</v>
      </c>
      <c r="C428" s="95" t="str">
        <f>IFERROR(__xludf.DUMMYFUNCTION("JOIN("". "", ARRAYFORMULA(IFERROR(LEFT(SPLIT(dados_01!C428, "" ""), 1))))"),"")</f>
        <v/>
      </c>
      <c r="D428" s="95">
        <f>dados_01!D428</f>
        <v>0</v>
      </c>
      <c r="E428" s="95" t="str">
        <f>CONCATENATE(LEFT(dados_01!E428,3),REPT("*",6),RIGHT(dados_01!E428,2))</f>
        <v>******</v>
      </c>
      <c r="F428" s="95">
        <f>dados_01!F428</f>
        <v>0</v>
      </c>
      <c r="G428" s="95">
        <f>dados_01!G428</f>
        <v>0</v>
      </c>
      <c r="H428" s="95">
        <f>dados_01!H428</f>
        <v>0</v>
      </c>
      <c r="I428" s="95">
        <f>dados_01!I428</f>
        <v>0</v>
      </c>
      <c r="J428" s="95"/>
      <c r="K428" s="95"/>
      <c r="L428" s="95"/>
      <c r="M428" s="95"/>
      <c r="N428" s="95"/>
      <c r="O428" s="95"/>
      <c r="P428" s="95"/>
      <c r="Q428" s="95"/>
      <c r="R428" s="95"/>
      <c r="S428" s="95"/>
      <c r="T428" s="95"/>
      <c r="U428" s="95"/>
      <c r="V428" s="95"/>
      <c r="W428" s="95"/>
      <c r="X428" s="95"/>
      <c r="Y428" s="95"/>
      <c r="Z428" s="95"/>
    </row>
    <row r="429" ht="15.75" customHeight="1" spans="1:26">
      <c r="A429" s="95">
        <f>dados_01!A429</f>
        <v>0</v>
      </c>
      <c r="B429" s="95">
        <f>dados_01!B429</f>
        <v>0</v>
      </c>
      <c r="C429" s="95" t="str">
        <f>IFERROR(__xludf.DUMMYFUNCTION("JOIN("". "", ARRAYFORMULA(IFERROR(LEFT(SPLIT(dados_01!C429, "" ""), 1))))"),"")</f>
        <v/>
      </c>
      <c r="D429" s="95">
        <f>dados_01!D429</f>
        <v>0</v>
      </c>
      <c r="E429" s="95" t="str">
        <f>CONCATENATE(LEFT(dados_01!E429,3),REPT("*",6),RIGHT(dados_01!E429,2))</f>
        <v>******</v>
      </c>
      <c r="F429" s="95">
        <f>dados_01!F429</f>
        <v>0</v>
      </c>
      <c r="G429" s="95">
        <f>dados_01!G429</f>
        <v>0</v>
      </c>
      <c r="H429" s="95">
        <f>dados_01!H429</f>
        <v>0</v>
      </c>
      <c r="I429" s="95">
        <f>dados_01!I429</f>
        <v>0</v>
      </c>
      <c r="J429" s="95"/>
      <c r="K429" s="95"/>
      <c r="L429" s="95"/>
      <c r="M429" s="95"/>
      <c r="N429" s="95"/>
      <c r="O429" s="95"/>
      <c r="P429" s="95"/>
      <c r="Q429" s="95"/>
      <c r="R429" s="95"/>
      <c r="S429" s="95"/>
      <c r="T429" s="95"/>
      <c r="U429" s="95"/>
      <c r="V429" s="95"/>
      <c r="W429" s="95"/>
      <c r="X429" s="95"/>
      <c r="Y429" s="95"/>
      <c r="Z429" s="95"/>
    </row>
    <row r="430" ht="15.75" customHeight="1" spans="1:26">
      <c r="A430" s="95">
        <f>dados_01!A430</f>
        <v>0</v>
      </c>
      <c r="B430" s="95">
        <f>dados_01!B430</f>
        <v>0</v>
      </c>
      <c r="C430" s="95" t="str">
        <f>IFERROR(__xludf.DUMMYFUNCTION("JOIN("". "", ARRAYFORMULA(IFERROR(LEFT(SPLIT(dados_01!C430, "" ""), 1))))"),"")</f>
        <v/>
      </c>
      <c r="D430" s="95">
        <f>dados_01!D430</f>
        <v>0</v>
      </c>
      <c r="E430" s="95" t="str">
        <f>CONCATENATE(LEFT(dados_01!E430,3),REPT("*",6),RIGHT(dados_01!E430,2))</f>
        <v>******</v>
      </c>
      <c r="F430" s="95">
        <f>dados_01!F430</f>
        <v>0</v>
      </c>
      <c r="G430" s="95">
        <f>dados_01!G430</f>
        <v>0</v>
      </c>
      <c r="H430" s="95">
        <f>dados_01!H430</f>
        <v>0</v>
      </c>
      <c r="I430" s="95">
        <f>dados_01!I430</f>
        <v>0</v>
      </c>
      <c r="J430" s="95"/>
      <c r="K430" s="95"/>
      <c r="L430" s="95"/>
      <c r="M430" s="95"/>
      <c r="N430" s="95"/>
      <c r="O430" s="95"/>
      <c r="P430" s="95"/>
      <c r="Q430" s="95"/>
      <c r="R430" s="95"/>
      <c r="S430" s="95"/>
      <c r="T430" s="95"/>
      <c r="U430" s="95"/>
      <c r="V430" s="95"/>
      <c r="W430" s="95"/>
      <c r="X430" s="95"/>
      <c r="Y430" s="95"/>
      <c r="Z430" s="95"/>
    </row>
    <row r="431" ht="15.75" customHeight="1" spans="1:26">
      <c r="A431" s="95">
        <f>dados_01!A431</f>
        <v>0</v>
      </c>
      <c r="B431" s="95">
        <f>dados_01!B431</f>
        <v>0</v>
      </c>
      <c r="C431" s="95" t="str">
        <f>IFERROR(__xludf.DUMMYFUNCTION("JOIN("". "", ARRAYFORMULA(IFERROR(LEFT(SPLIT(dados_01!C431, "" ""), 1))))"),"")</f>
        <v/>
      </c>
      <c r="D431" s="95">
        <f>dados_01!D431</f>
        <v>0</v>
      </c>
      <c r="E431" s="95" t="str">
        <f>CONCATENATE(LEFT(dados_01!E431,3),REPT("*",6),RIGHT(dados_01!E431,2))</f>
        <v>******</v>
      </c>
      <c r="F431" s="95">
        <f>dados_01!F431</f>
        <v>0</v>
      </c>
      <c r="G431" s="95">
        <f>dados_01!G431</f>
        <v>0</v>
      </c>
      <c r="H431" s="95">
        <f>dados_01!H431</f>
        <v>0</v>
      </c>
      <c r="I431" s="95">
        <f>dados_01!I431</f>
        <v>0</v>
      </c>
      <c r="J431" s="95"/>
      <c r="K431" s="95"/>
      <c r="L431" s="95"/>
      <c r="M431" s="95"/>
      <c r="N431" s="95"/>
      <c r="O431" s="95"/>
      <c r="P431" s="95"/>
      <c r="Q431" s="95"/>
      <c r="R431" s="95"/>
      <c r="S431" s="95"/>
      <c r="T431" s="95"/>
      <c r="U431" s="95"/>
      <c r="V431" s="95"/>
      <c r="W431" s="95"/>
      <c r="X431" s="95"/>
      <c r="Y431" s="95"/>
      <c r="Z431" s="95"/>
    </row>
    <row r="432" ht="15.75" customHeight="1" spans="1:26">
      <c r="A432" s="95">
        <f>dados_01!A432</f>
        <v>0</v>
      </c>
      <c r="B432" s="95">
        <f>dados_01!B432</f>
        <v>0</v>
      </c>
      <c r="C432" s="95" t="str">
        <f>IFERROR(__xludf.DUMMYFUNCTION("JOIN("". "", ARRAYFORMULA(IFERROR(LEFT(SPLIT(dados_01!C432, "" ""), 1))))"),"")</f>
        <v/>
      </c>
      <c r="D432" s="95">
        <f>dados_01!D432</f>
        <v>0</v>
      </c>
      <c r="E432" s="95" t="str">
        <f>CONCATENATE(LEFT(dados_01!E432,3),REPT("*",6),RIGHT(dados_01!E432,2))</f>
        <v>******</v>
      </c>
      <c r="F432" s="95">
        <f>dados_01!F432</f>
        <v>0</v>
      </c>
      <c r="G432" s="95">
        <f>dados_01!G432</f>
        <v>0</v>
      </c>
      <c r="H432" s="95">
        <f>dados_01!H432</f>
        <v>0</v>
      </c>
      <c r="I432" s="95">
        <f>dados_01!I432</f>
        <v>0</v>
      </c>
      <c r="J432" s="95"/>
      <c r="K432" s="95"/>
      <c r="L432" s="95"/>
      <c r="M432" s="95"/>
      <c r="N432" s="95"/>
      <c r="O432" s="95"/>
      <c r="P432" s="95"/>
      <c r="Q432" s="95"/>
      <c r="R432" s="95"/>
      <c r="S432" s="95"/>
      <c r="T432" s="95"/>
      <c r="U432" s="95"/>
      <c r="V432" s="95"/>
      <c r="W432" s="95"/>
      <c r="X432" s="95"/>
      <c r="Y432" s="95"/>
      <c r="Z432" s="95"/>
    </row>
    <row r="433" ht="15.75" customHeight="1" spans="1:26">
      <c r="A433" s="95">
        <f>dados_01!A433</f>
        <v>0</v>
      </c>
      <c r="B433" s="95">
        <f>dados_01!B433</f>
        <v>0</v>
      </c>
      <c r="C433" s="95" t="str">
        <f>IFERROR(__xludf.DUMMYFUNCTION("JOIN("". "", ARRAYFORMULA(IFERROR(LEFT(SPLIT(dados_01!C433, "" ""), 1))))"),"")</f>
        <v/>
      </c>
      <c r="D433" s="95">
        <f>dados_01!D433</f>
        <v>0</v>
      </c>
      <c r="E433" s="95" t="str">
        <f>CONCATENATE(LEFT(dados_01!E433,3),REPT("*",6),RIGHT(dados_01!E433,2))</f>
        <v>******</v>
      </c>
      <c r="F433" s="95">
        <f>dados_01!F433</f>
        <v>0</v>
      </c>
      <c r="G433" s="95">
        <f>dados_01!G433</f>
        <v>0</v>
      </c>
      <c r="H433" s="95">
        <f>dados_01!H433</f>
        <v>0</v>
      </c>
      <c r="I433" s="95">
        <f>dados_01!I433</f>
        <v>0</v>
      </c>
      <c r="J433" s="95"/>
      <c r="K433" s="95"/>
      <c r="L433" s="95"/>
      <c r="M433" s="95"/>
      <c r="N433" s="95"/>
      <c r="O433" s="95"/>
      <c r="P433" s="95"/>
      <c r="Q433" s="95"/>
      <c r="R433" s="95"/>
      <c r="S433" s="95"/>
      <c r="T433" s="95"/>
      <c r="U433" s="95"/>
      <c r="V433" s="95"/>
      <c r="W433" s="95"/>
      <c r="X433" s="95"/>
      <c r="Y433" s="95"/>
      <c r="Z433" s="95"/>
    </row>
    <row r="434" ht="15.75" customHeight="1" spans="1:26">
      <c r="A434" s="95">
        <f>dados_01!A434</f>
        <v>0</v>
      </c>
      <c r="B434" s="95">
        <f>dados_01!B434</f>
        <v>0</v>
      </c>
      <c r="C434" s="95" t="str">
        <f>IFERROR(__xludf.DUMMYFUNCTION("JOIN("". "", ARRAYFORMULA(IFERROR(LEFT(SPLIT(dados_01!C434, "" ""), 1))))"),"")</f>
        <v/>
      </c>
      <c r="D434" s="95">
        <f>dados_01!D434</f>
        <v>0</v>
      </c>
      <c r="E434" s="95" t="str">
        <f>CONCATENATE(LEFT(dados_01!E434,3),REPT("*",6),RIGHT(dados_01!E434,2))</f>
        <v>******</v>
      </c>
      <c r="F434" s="95">
        <f>dados_01!F434</f>
        <v>0</v>
      </c>
      <c r="G434" s="95">
        <f>dados_01!G434</f>
        <v>0</v>
      </c>
      <c r="H434" s="95">
        <f>dados_01!H434</f>
        <v>0</v>
      </c>
      <c r="I434" s="95">
        <f>dados_01!I434</f>
        <v>0</v>
      </c>
      <c r="J434" s="95"/>
      <c r="K434" s="95"/>
      <c r="L434" s="95"/>
      <c r="M434" s="95"/>
      <c r="N434" s="95"/>
      <c r="O434" s="95"/>
      <c r="P434" s="95"/>
      <c r="Q434" s="95"/>
      <c r="R434" s="95"/>
      <c r="S434" s="95"/>
      <c r="T434" s="95"/>
      <c r="U434" s="95"/>
      <c r="V434" s="95"/>
      <c r="W434" s="95"/>
      <c r="X434" s="95"/>
      <c r="Y434" s="95"/>
      <c r="Z434" s="95"/>
    </row>
    <row r="435" ht="15.75" customHeight="1" spans="1:26">
      <c r="A435" s="95">
        <f>dados_01!A435</f>
        <v>0</v>
      </c>
      <c r="B435" s="95">
        <f>dados_01!B435</f>
        <v>0</v>
      </c>
      <c r="C435" s="95" t="str">
        <f>IFERROR(__xludf.DUMMYFUNCTION("JOIN("". "", ARRAYFORMULA(IFERROR(LEFT(SPLIT(dados_01!C435, "" ""), 1))))"),"")</f>
        <v/>
      </c>
      <c r="D435" s="95">
        <f>dados_01!D435</f>
        <v>0</v>
      </c>
      <c r="E435" s="95" t="str">
        <f>CONCATENATE(LEFT(dados_01!E435,3),REPT("*",6),RIGHT(dados_01!E435,2))</f>
        <v>******</v>
      </c>
      <c r="F435" s="95">
        <f>dados_01!F435</f>
        <v>0</v>
      </c>
      <c r="G435" s="95">
        <f>dados_01!G435</f>
        <v>0</v>
      </c>
      <c r="H435" s="95">
        <f>dados_01!H435</f>
        <v>0</v>
      </c>
      <c r="I435" s="95">
        <f>dados_01!I435</f>
        <v>0</v>
      </c>
      <c r="J435" s="95"/>
      <c r="K435" s="95"/>
      <c r="L435" s="95"/>
      <c r="M435" s="95"/>
      <c r="N435" s="95"/>
      <c r="O435" s="95"/>
      <c r="P435" s="95"/>
      <c r="Q435" s="95"/>
      <c r="R435" s="95"/>
      <c r="S435" s="95"/>
      <c r="T435" s="95"/>
      <c r="U435" s="95"/>
      <c r="V435" s="95"/>
      <c r="W435" s="95"/>
      <c r="X435" s="95"/>
      <c r="Y435" s="95"/>
      <c r="Z435" s="95"/>
    </row>
    <row r="436" ht="15.75" customHeight="1" spans="1:26">
      <c r="A436" s="95">
        <f>dados_01!A436</f>
        <v>0</v>
      </c>
      <c r="B436" s="95">
        <f>dados_01!B436</f>
        <v>0</v>
      </c>
      <c r="C436" s="95" t="str">
        <f>IFERROR(__xludf.DUMMYFUNCTION("JOIN("". "", ARRAYFORMULA(IFERROR(LEFT(SPLIT(dados_01!C436, "" ""), 1))))"),"")</f>
        <v/>
      </c>
      <c r="D436" s="95">
        <f>dados_01!D436</f>
        <v>0</v>
      </c>
      <c r="E436" s="95" t="str">
        <f>CONCATENATE(LEFT(dados_01!E436,3),REPT("*",6),RIGHT(dados_01!E436,2))</f>
        <v>******</v>
      </c>
      <c r="F436" s="95">
        <f>dados_01!F436</f>
        <v>0</v>
      </c>
      <c r="G436" s="95">
        <f>dados_01!G436</f>
        <v>0</v>
      </c>
      <c r="H436" s="95">
        <f>dados_01!H436</f>
        <v>0</v>
      </c>
      <c r="I436" s="95">
        <f>dados_01!I436</f>
        <v>0</v>
      </c>
      <c r="J436" s="95"/>
      <c r="K436" s="95"/>
      <c r="L436" s="95"/>
      <c r="M436" s="95"/>
      <c r="N436" s="95"/>
      <c r="O436" s="95"/>
      <c r="P436" s="95"/>
      <c r="Q436" s="95"/>
      <c r="R436" s="95"/>
      <c r="S436" s="95"/>
      <c r="T436" s="95"/>
      <c r="U436" s="95"/>
      <c r="V436" s="95"/>
      <c r="W436" s="95"/>
      <c r="X436" s="95"/>
      <c r="Y436" s="95"/>
      <c r="Z436" s="95"/>
    </row>
    <row r="437" ht="15.75" customHeight="1" spans="1:26">
      <c r="A437" s="95">
        <f>dados_01!A437</f>
        <v>0</v>
      </c>
      <c r="B437" s="95">
        <f>dados_01!B437</f>
        <v>0</v>
      </c>
      <c r="C437" s="95" t="str">
        <f>IFERROR(__xludf.DUMMYFUNCTION("JOIN("". "", ARRAYFORMULA(IFERROR(LEFT(SPLIT(dados_01!C437, "" ""), 1))))"),"")</f>
        <v/>
      </c>
      <c r="D437" s="95">
        <f>dados_01!D437</f>
        <v>0</v>
      </c>
      <c r="E437" s="95" t="str">
        <f>CONCATENATE(LEFT(dados_01!E437,3),REPT("*",6),RIGHT(dados_01!E437,2))</f>
        <v>******</v>
      </c>
      <c r="F437" s="95">
        <f>dados_01!F437</f>
        <v>0</v>
      </c>
      <c r="G437" s="95">
        <f>dados_01!G437</f>
        <v>0</v>
      </c>
      <c r="H437" s="95">
        <f>dados_01!H437</f>
        <v>0</v>
      </c>
      <c r="I437" s="95">
        <f>dados_01!I437</f>
        <v>0</v>
      </c>
      <c r="J437" s="95"/>
      <c r="K437" s="95"/>
      <c r="L437" s="95"/>
      <c r="M437" s="95"/>
      <c r="N437" s="95"/>
      <c r="O437" s="95"/>
      <c r="P437" s="95"/>
      <c r="Q437" s="95"/>
      <c r="R437" s="95"/>
      <c r="S437" s="95"/>
      <c r="T437" s="95"/>
      <c r="U437" s="95"/>
      <c r="V437" s="95"/>
      <c r="W437" s="95"/>
      <c r="X437" s="95"/>
      <c r="Y437" s="95"/>
      <c r="Z437" s="95"/>
    </row>
    <row r="438" ht="15.75" customHeight="1" spans="1:26">
      <c r="A438" s="95">
        <f>dados_01!A438</f>
        <v>0</v>
      </c>
      <c r="B438" s="95">
        <f>dados_01!B438</f>
        <v>0</v>
      </c>
      <c r="C438" s="95" t="str">
        <f>IFERROR(__xludf.DUMMYFUNCTION("JOIN("". "", ARRAYFORMULA(IFERROR(LEFT(SPLIT(dados_01!C438, "" ""), 1))))"),"")</f>
        <v/>
      </c>
      <c r="D438" s="95">
        <f>dados_01!D438</f>
        <v>0</v>
      </c>
      <c r="E438" s="95" t="str">
        <f>CONCATENATE(LEFT(dados_01!E438,3),REPT("*",6),RIGHT(dados_01!E438,2))</f>
        <v>******</v>
      </c>
      <c r="F438" s="95">
        <f>dados_01!F438</f>
        <v>0</v>
      </c>
      <c r="G438" s="95">
        <f>dados_01!G438</f>
        <v>0</v>
      </c>
      <c r="H438" s="95">
        <f>dados_01!H438</f>
        <v>0</v>
      </c>
      <c r="I438" s="95">
        <f>dados_01!I438</f>
        <v>0</v>
      </c>
      <c r="J438" s="95"/>
      <c r="K438" s="95"/>
      <c r="L438" s="95"/>
      <c r="M438" s="95"/>
      <c r="N438" s="95"/>
      <c r="O438" s="95"/>
      <c r="P438" s="95"/>
      <c r="Q438" s="95"/>
      <c r="R438" s="95"/>
      <c r="S438" s="95"/>
      <c r="T438" s="95"/>
      <c r="U438" s="95"/>
      <c r="V438" s="95"/>
      <c r="W438" s="95"/>
      <c r="X438" s="95"/>
      <c r="Y438" s="95"/>
      <c r="Z438" s="95"/>
    </row>
    <row r="439" ht="15.75" customHeight="1" spans="1:26">
      <c r="A439" s="95">
        <f>dados_01!A439</f>
        <v>0</v>
      </c>
      <c r="B439" s="95">
        <f>dados_01!B439</f>
        <v>0</v>
      </c>
      <c r="C439" s="95" t="str">
        <f>IFERROR(__xludf.DUMMYFUNCTION("JOIN("". "", ARRAYFORMULA(IFERROR(LEFT(SPLIT(dados_01!C439, "" ""), 1))))"),"")</f>
        <v/>
      </c>
      <c r="D439" s="95">
        <f>dados_01!D439</f>
        <v>0</v>
      </c>
      <c r="E439" s="95" t="str">
        <f>CONCATENATE(LEFT(dados_01!E439,3),REPT("*",6),RIGHT(dados_01!E439,2))</f>
        <v>******</v>
      </c>
      <c r="F439" s="95">
        <f>dados_01!F439</f>
        <v>0</v>
      </c>
      <c r="G439" s="95">
        <f>dados_01!G439</f>
        <v>0</v>
      </c>
      <c r="H439" s="95">
        <f>dados_01!H439</f>
        <v>0</v>
      </c>
      <c r="I439" s="95">
        <f>dados_01!I439</f>
        <v>0</v>
      </c>
      <c r="J439" s="95"/>
      <c r="K439" s="95"/>
      <c r="L439" s="95"/>
      <c r="M439" s="95"/>
      <c r="N439" s="95"/>
      <c r="O439" s="95"/>
      <c r="P439" s="95"/>
      <c r="Q439" s="95"/>
      <c r="R439" s="95"/>
      <c r="S439" s="95"/>
      <c r="T439" s="95"/>
      <c r="U439" s="95"/>
      <c r="V439" s="95"/>
      <c r="W439" s="95"/>
      <c r="X439" s="95"/>
      <c r="Y439" s="95"/>
      <c r="Z439" s="95"/>
    </row>
    <row r="440" ht="15.75" customHeight="1" spans="1:26">
      <c r="A440" s="95">
        <f>dados_01!A440</f>
        <v>0</v>
      </c>
      <c r="B440" s="95">
        <f>dados_01!B440</f>
        <v>0</v>
      </c>
      <c r="C440" s="95" t="str">
        <f>IFERROR(__xludf.DUMMYFUNCTION("JOIN("". "", ARRAYFORMULA(IFERROR(LEFT(SPLIT(dados_01!C440, "" ""), 1))))"),"")</f>
        <v/>
      </c>
      <c r="D440" s="95">
        <f>dados_01!D440</f>
        <v>0</v>
      </c>
      <c r="E440" s="95" t="str">
        <f>CONCATENATE(LEFT(dados_01!E440,3),REPT("*",6),RIGHT(dados_01!E440,2))</f>
        <v>******</v>
      </c>
      <c r="F440" s="95">
        <f>dados_01!F440</f>
        <v>0</v>
      </c>
      <c r="G440" s="95">
        <f>dados_01!G440</f>
        <v>0</v>
      </c>
      <c r="H440" s="95">
        <f>dados_01!H440</f>
        <v>0</v>
      </c>
      <c r="I440" s="95">
        <f>dados_01!I440</f>
        <v>0</v>
      </c>
      <c r="J440" s="95"/>
      <c r="K440" s="95"/>
      <c r="L440" s="95"/>
      <c r="M440" s="95"/>
      <c r="N440" s="95"/>
      <c r="O440" s="95"/>
      <c r="P440" s="95"/>
      <c r="Q440" s="95"/>
      <c r="R440" s="95"/>
      <c r="S440" s="95"/>
      <c r="T440" s="95"/>
      <c r="U440" s="95"/>
      <c r="V440" s="95"/>
      <c r="W440" s="95"/>
      <c r="X440" s="95"/>
      <c r="Y440" s="95"/>
      <c r="Z440" s="95"/>
    </row>
    <row r="441" ht="15.75" customHeight="1" spans="1:26">
      <c r="A441" s="95">
        <f>dados_01!A441</f>
        <v>0</v>
      </c>
      <c r="B441" s="95">
        <f>dados_01!B441</f>
        <v>0</v>
      </c>
      <c r="C441" s="95" t="str">
        <f>IFERROR(__xludf.DUMMYFUNCTION("JOIN("". "", ARRAYFORMULA(IFERROR(LEFT(SPLIT(dados_01!C441, "" ""), 1))))"),"")</f>
        <v/>
      </c>
      <c r="D441" s="95">
        <f>dados_01!D441</f>
        <v>0</v>
      </c>
      <c r="E441" s="95" t="str">
        <f>CONCATENATE(LEFT(dados_01!E441,3),REPT("*",6),RIGHT(dados_01!E441,2))</f>
        <v>******</v>
      </c>
      <c r="F441" s="95">
        <f>dados_01!F441</f>
        <v>0</v>
      </c>
      <c r="G441" s="95">
        <f>dados_01!G441</f>
        <v>0</v>
      </c>
      <c r="H441" s="95">
        <f>dados_01!H441</f>
        <v>0</v>
      </c>
      <c r="I441" s="95">
        <f>dados_01!I441</f>
        <v>0</v>
      </c>
      <c r="J441" s="95"/>
      <c r="K441" s="95"/>
      <c r="L441" s="95"/>
      <c r="M441" s="95"/>
      <c r="N441" s="95"/>
      <c r="O441" s="95"/>
      <c r="P441" s="95"/>
      <c r="Q441" s="95"/>
      <c r="R441" s="95"/>
      <c r="S441" s="95"/>
      <c r="T441" s="95"/>
      <c r="U441" s="95"/>
      <c r="V441" s="95"/>
      <c r="W441" s="95"/>
      <c r="X441" s="95"/>
      <c r="Y441" s="95"/>
      <c r="Z441" s="95"/>
    </row>
    <row r="442" ht="15.75" customHeight="1" spans="1:26">
      <c r="A442" s="95">
        <f>dados_01!A442</f>
        <v>0</v>
      </c>
      <c r="B442" s="95">
        <f>dados_01!B442</f>
        <v>0</v>
      </c>
      <c r="C442" s="95" t="str">
        <f>IFERROR(__xludf.DUMMYFUNCTION("JOIN("". "", ARRAYFORMULA(IFERROR(LEFT(SPLIT(dados_01!C442, "" ""), 1))))"),"")</f>
        <v/>
      </c>
      <c r="D442" s="95">
        <f>dados_01!D442</f>
        <v>0</v>
      </c>
      <c r="E442" s="95" t="str">
        <f>CONCATENATE(LEFT(dados_01!E442,3),REPT("*",6),RIGHT(dados_01!E442,2))</f>
        <v>******</v>
      </c>
      <c r="F442" s="95">
        <f>dados_01!F442</f>
        <v>0</v>
      </c>
      <c r="G442" s="95">
        <f>dados_01!G442</f>
        <v>0</v>
      </c>
      <c r="H442" s="95">
        <f>dados_01!H442</f>
        <v>0</v>
      </c>
      <c r="I442" s="95">
        <f>dados_01!I442</f>
        <v>0</v>
      </c>
      <c r="J442" s="95"/>
      <c r="K442" s="95"/>
      <c r="L442" s="95"/>
      <c r="M442" s="95"/>
      <c r="N442" s="95"/>
      <c r="O442" s="95"/>
      <c r="P442" s="95"/>
      <c r="Q442" s="95"/>
      <c r="R442" s="95"/>
      <c r="S442" s="95"/>
      <c r="T442" s="95"/>
      <c r="U442" s="95"/>
      <c r="V442" s="95"/>
      <c r="W442" s="95"/>
      <c r="X442" s="95"/>
      <c r="Y442" s="95"/>
      <c r="Z442" s="95"/>
    </row>
    <row r="443" ht="15.75" customHeight="1" spans="1:26">
      <c r="A443" s="95">
        <f>dados_01!A443</f>
        <v>0</v>
      </c>
      <c r="B443" s="95">
        <f>dados_01!B443</f>
        <v>0</v>
      </c>
      <c r="C443" s="95" t="str">
        <f>IFERROR(__xludf.DUMMYFUNCTION("JOIN("". "", ARRAYFORMULA(IFERROR(LEFT(SPLIT(dados_01!C443, "" ""), 1))))"),"")</f>
        <v/>
      </c>
      <c r="D443" s="95">
        <f>dados_01!D443</f>
        <v>0</v>
      </c>
      <c r="E443" s="95" t="str">
        <f>CONCATENATE(LEFT(dados_01!E443,3),REPT("*",6),RIGHT(dados_01!E443,2))</f>
        <v>******</v>
      </c>
      <c r="F443" s="95">
        <f>dados_01!F443</f>
        <v>0</v>
      </c>
      <c r="G443" s="95">
        <f>dados_01!G443</f>
        <v>0</v>
      </c>
      <c r="H443" s="95">
        <f>dados_01!H443</f>
        <v>0</v>
      </c>
      <c r="I443" s="95">
        <f>dados_01!I443</f>
        <v>0</v>
      </c>
      <c r="J443" s="95"/>
      <c r="K443" s="95"/>
      <c r="L443" s="95"/>
      <c r="M443" s="95"/>
      <c r="N443" s="95"/>
      <c r="O443" s="95"/>
      <c r="P443" s="95"/>
      <c r="Q443" s="95"/>
      <c r="R443" s="95"/>
      <c r="S443" s="95"/>
      <c r="T443" s="95"/>
      <c r="U443" s="95"/>
      <c r="V443" s="95"/>
      <c r="W443" s="95"/>
      <c r="X443" s="95"/>
      <c r="Y443" s="95"/>
      <c r="Z443" s="95"/>
    </row>
    <row r="444" ht="15.75" customHeight="1" spans="1:26">
      <c r="A444" s="95">
        <f>dados_01!A444</f>
        <v>0</v>
      </c>
      <c r="B444" s="95">
        <f>dados_01!B444</f>
        <v>0</v>
      </c>
      <c r="C444" s="95" t="str">
        <f>IFERROR(__xludf.DUMMYFUNCTION("JOIN("". "", ARRAYFORMULA(IFERROR(LEFT(SPLIT(dados_01!C444, "" ""), 1))))"),"")</f>
        <v/>
      </c>
      <c r="D444" s="95">
        <f>dados_01!D444</f>
        <v>0</v>
      </c>
      <c r="E444" s="95" t="str">
        <f>CONCATENATE(LEFT(dados_01!E444,3),REPT("*",6),RIGHT(dados_01!E444,2))</f>
        <v>******</v>
      </c>
      <c r="F444" s="95">
        <f>dados_01!F444</f>
        <v>0</v>
      </c>
      <c r="G444" s="95">
        <f>dados_01!G444</f>
        <v>0</v>
      </c>
      <c r="H444" s="95">
        <f>dados_01!H444</f>
        <v>0</v>
      </c>
      <c r="I444" s="95">
        <f>dados_01!I444</f>
        <v>0</v>
      </c>
      <c r="J444" s="95"/>
      <c r="K444" s="95"/>
      <c r="L444" s="95"/>
      <c r="M444" s="95"/>
      <c r="N444" s="95"/>
      <c r="O444" s="95"/>
      <c r="P444" s="95"/>
      <c r="Q444" s="95"/>
      <c r="R444" s="95"/>
      <c r="S444" s="95"/>
      <c r="T444" s="95"/>
      <c r="U444" s="95"/>
      <c r="V444" s="95"/>
      <c r="W444" s="95"/>
      <c r="X444" s="95"/>
      <c r="Y444" s="95"/>
      <c r="Z444" s="95"/>
    </row>
    <row r="445" ht="15.75" customHeight="1" spans="1:26">
      <c r="A445" s="95">
        <f>dados_01!A445</f>
        <v>0</v>
      </c>
      <c r="B445" s="95">
        <f>dados_01!B445</f>
        <v>0</v>
      </c>
      <c r="C445" s="95" t="str">
        <f>IFERROR(__xludf.DUMMYFUNCTION("JOIN("". "", ARRAYFORMULA(IFERROR(LEFT(SPLIT(dados_01!C445, "" ""), 1))))"),"")</f>
        <v/>
      </c>
      <c r="D445" s="95">
        <f>dados_01!D445</f>
        <v>0</v>
      </c>
      <c r="E445" s="95" t="str">
        <f>CONCATENATE(LEFT(dados_01!E445,3),REPT("*",6),RIGHT(dados_01!E445,2))</f>
        <v>******</v>
      </c>
      <c r="F445" s="95">
        <f>dados_01!F445</f>
        <v>0</v>
      </c>
      <c r="G445" s="95">
        <f>dados_01!G445</f>
        <v>0</v>
      </c>
      <c r="H445" s="95">
        <f>dados_01!H445</f>
        <v>0</v>
      </c>
      <c r="I445" s="95">
        <f>dados_01!I445</f>
        <v>0</v>
      </c>
      <c r="J445" s="95"/>
      <c r="K445" s="95"/>
      <c r="L445" s="95"/>
      <c r="M445" s="95"/>
      <c r="N445" s="95"/>
      <c r="O445" s="95"/>
      <c r="P445" s="95"/>
      <c r="Q445" s="95"/>
      <c r="R445" s="95"/>
      <c r="S445" s="95"/>
      <c r="T445" s="95"/>
      <c r="U445" s="95"/>
      <c r="V445" s="95"/>
      <c r="W445" s="95"/>
      <c r="X445" s="95"/>
      <c r="Y445" s="95"/>
      <c r="Z445" s="95"/>
    </row>
    <row r="446" ht="15.75" customHeight="1" spans="1:26">
      <c r="A446" s="95">
        <f>dados_01!A446</f>
        <v>0</v>
      </c>
      <c r="B446" s="95">
        <f>dados_01!B446</f>
        <v>0</v>
      </c>
      <c r="C446" s="95" t="str">
        <f>IFERROR(__xludf.DUMMYFUNCTION("JOIN("". "", ARRAYFORMULA(IFERROR(LEFT(SPLIT(dados_01!C446, "" ""), 1))))"),"")</f>
        <v/>
      </c>
      <c r="D446" s="95">
        <f>dados_01!D446</f>
        <v>0</v>
      </c>
      <c r="E446" s="95" t="str">
        <f>CONCATENATE(LEFT(dados_01!E446,3),REPT("*",6),RIGHT(dados_01!E446,2))</f>
        <v>******</v>
      </c>
      <c r="F446" s="95">
        <f>dados_01!F446</f>
        <v>0</v>
      </c>
      <c r="G446" s="95">
        <f>dados_01!G446</f>
        <v>0</v>
      </c>
      <c r="H446" s="95">
        <f>dados_01!H446</f>
        <v>0</v>
      </c>
      <c r="I446" s="95">
        <f>dados_01!I446</f>
        <v>0</v>
      </c>
      <c r="J446" s="95"/>
      <c r="K446" s="95"/>
      <c r="L446" s="95"/>
      <c r="M446" s="95"/>
      <c r="N446" s="95"/>
      <c r="O446" s="95"/>
      <c r="P446" s="95"/>
      <c r="Q446" s="95"/>
      <c r="R446" s="95"/>
      <c r="S446" s="95"/>
      <c r="T446" s="95"/>
      <c r="U446" s="95"/>
      <c r="V446" s="95"/>
      <c r="W446" s="95"/>
      <c r="X446" s="95"/>
      <c r="Y446" s="95"/>
      <c r="Z446" s="95"/>
    </row>
    <row r="447" ht="15.75" customHeight="1" spans="1:26">
      <c r="A447" s="95">
        <f>dados_01!A447</f>
        <v>0</v>
      </c>
      <c r="B447" s="95">
        <f>dados_01!B447</f>
        <v>0</v>
      </c>
      <c r="C447" s="95" t="str">
        <f>IFERROR(__xludf.DUMMYFUNCTION("JOIN("". "", ARRAYFORMULA(IFERROR(LEFT(SPLIT(dados_01!C447, "" ""), 1))))"),"")</f>
        <v/>
      </c>
      <c r="D447" s="95">
        <f>dados_01!D447</f>
        <v>0</v>
      </c>
      <c r="E447" s="95" t="str">
        <f>CONCATENATE(LEFT(dados_01!E447,3),REPT("*",6),RIGHT(dados_01!E447,2))</f>
        <v>******</v>
      </c>
      <c r="F447" s="95">
        <f>dados_01!F447</f>
        <v>0</v>
      </c>
      <c r="G447" s="95">
        <f>dados_01!G447</f>
        <v>0</v>
      </c>
      <c r="H447" s="95">
        <f>dados_01!H447</f>
        <v>0</v>
      </c>
      <c r="I447" s="95">
        <f>dados_01!I447</f>
        <v>0</v>
      </c>
      <c r="J447" s="95"/>
      <c r="K447" s="95"/>
      <c r="L447" s="95"/>
      <c r="M447" s="95"/>
      <c r="N447" s="95"/>
      <c r="O447" s="95"/>
      <c r="P447" s="95"/>
      <c r="Q447" s="95"/>
      <c r="R447" s="95"/>
      <c r="S447" s="95"/>
      <c r="T447" s="95"/>
      <c r="U447" s="95"/>
      <c r="V447" s="95"/>
      <c r="W447" s="95"/>
      <c r="X447" s="95"/>
      <c r="Y447" s="95"/>
      <c r="Z447" s="95"/>
    </row>
    <row r="448" ht="15.75" customHeight="1" spans="1:26">
      <c r="A448" s="95">
        <f>dados_01!A448</f>
        <v>0</v>
      </c>
      <c r="B448" s="95">
        <f>dados_01!B448</f>
        <v>0</v>
      </c>
      <c r="C448" s="95" t="str">
        <f>IFERROR(__xludf.DUMMYFUNCTION("JOIN("". "", ARRAYFORMULA(IFERROR(LEFT(SPLIT(dados_01!C448, "" ""), 1))))"),"")</f>
        <v/>
      </c>
      <c r="D448" s="95">
        <f>dados_01!D448</f>
        <v>0</v>
      </c>
      <c r="E448" s="95" t="str">
        <f>CONCATENATE(LEFT(dados_01!E448,3),REPT("*",6),RIGHT(dados_01!E448,2))</f>
        <v>******</v>
      </c>
      <c r="F448" s="95">
        <f>dados_01!F448</f>
        <v>0</v>
      </c>
      <c r="G448" s="95">
        <f>dados_01!G448</f>
        <v>0</v>
      </c>
      <c r="H448" s="95">
        <f>dados_01!H448</f>
        <v>0</v>
      </c>
      <c r="I448" s="95">
        <f>dados_01!I448</f>
        <v>0</v>
      </c>
      <c r="J448" s="95"/>
      <c r="K448" s="95"/>
      <c r="L448" s="95"/>
      <c r="M448" s="95"/>
      <c r="N448" s="95"/>
      <c r="O448" s="95"/>
      <c r="P448" s="95"/>
      <c r="Q448" s="95"/>
      <c r="R448" s="95"/>
      <c r="S448" s="95"/>
      <c r="T448" s="95"/>
      <c r="U448" s="95"/>
      <c r="V448" s="95"/>
      <c r="W448" s="95"/>
      <c r="X448" s="95"/>
      <c r="Y448" s="95"/>
      <c r="Z448" s="95"/>
    </row>
    <row r="449" ht="15.75" customHeight="1" spans="1:26">
      <c r="A449" s="95">
        <f>dados_01!A449</f>
        <v>0</v>
      </c>
      <c r="B449" s="95">
        <f>dados_01!B449</f>
        <v>0</v>
      </c>
      <c r="C449" s="95" t="str">
        <f>IFERROR(__xludf.DUMMYFUNCTION("JOIN("". "", ARRAYFORMULA(IFERROR(LEFT(SPLIT(dados_01!C449, "" ""), 1))))"),"")</f>
        <v/>
      </c>
      <c r="D449" s="95">
        <f>dados_01!D449</f>
        <v>0</v>
      </c>
      <c r="E449" s="95" t="str">
        <f>CONCATENATE(LEFT(dados_01!E449,3),REPT("*",6),RIGHT(dados_01!E449,2))</f>
        <v>******</v>
      </c>
      <c r="F449" s="95">
        <f>dados_01!F449</f>
        <v>0</v>
      </c>
      <c r="G449" s="95">
        <f>dados_01!G449</f>
        <v>0</v>
      </c>
      <c r="H449" s="95">
        <f>dados_01!H449</f>
        <v>0</v>
      </c>
      <c r="I449" s="95">
        <f>dados_01!I449</f>
        <v>0</v>
      </c>
      <c r="J449" s="95"/>
      <c r="K449" s="95"/>
      <c r="L449" s="95"/>
      <c r="M449" s="95"/>
      <c r="N449" s="95"/>
      <c r="O449" s="95"/>
      <c r="P449" s="95"/>
      <c r="Q449" s="95"/>
      <c r="R449" s="95"/>
      <c r="S449" s="95"/>
      <c r="T449" s="95"/>
      <c r="U449" s="95"/>
      <c r="V449" s="95"/>
      <c r="W449" s="95"/>
      <c r="X449" s="95"/>
      <c r="Y449" s="95"/>
      <c r="Z449" s="95"/>
    </row>
    <row r="450" ht="15.75" customHeight="1" spans="1:26">
      <c r="A450" s="95">
        <f>dados_01!A450</f>
        <v>0</v>
      </c>
      <c r="B450" s="95">
        <f>dados_01!B450</f>
        <v>0</v>
      </c>
      <c r="C450" s="95" t="str">
        <f>IFERROR(__xludf.DUMMYFUNCTION("JOIN("". "", ARRAYFORMULA(IFERROR(LEFT(SPLIT(dados_01!C450, "" ""), 1))))"),"")</f>
        <v/>
      </c>
      <c r="D450" s="95">
        <f>dados_01!D450</f>
        <v>0</v>
      </c>
      <c r="E450" s="95" t="str">
        <f>CONCATENATE(LEFT(dados_01!E450,3),REPT("*",6),RIGHT(dados_01!E450,2))</f>
        <v>******</v>
      </c>
      <c r="F450" s="95">
        <f>dados_01!F450</f>
        <v>0</v>
      </c>
      <c r="G450" s="95">
        <f>dados_01!G450</f>
        <v>0</v>
      </c>
      <c r="H450" s="95">
        <f>dados_01!H450</f>
        <v>0</v>
      </c>
      <c r="I450" s="95">
        <f>dados_01!I450</f>
        <v>0</v>
      </c>
      <c r="J450" s="95"/>
      <c r="K450" s="95"/>
      <c r="L450" s="95"/>
      <c r="M450" s="95"/>
      <c r="N450" s="95"/>
      <c r="O450" s="95"/>
      <c r="P450" s="95"/>
      <c r="Q450" s="95"/>
      <c r="R450" s="95"/>
      <c r="S450" s="95"/>
      <c r="T450" s="95"/>
      <c r="U450" s="95"/>
      <c r="V450" s="95"/>
      <c r="W450" s="95"/>
      <c r="X450" s="95"/>
      <c r="Y450" s="95"/>
      <c r="Z450" s="95"/>
    </row>
    <row r="451" ht="15.75" customHeight="1" spans="1:26">
      <c r="A451" s="95">
        <f>dados_01!A451</f>
        <v>0</v>
      </c>
      <c r="B451" s="95">
        <f>dados_01!B451</f>
        <v>0</v>
      </c>
      <c r="C451" s="95" t="str">
        <f>IFERROR(__xludf.DUMMYFUNCTION("JOIN("". "", ARRAYFORMULA(IFERROR(LEFT(SPLIT(dados_01!C451, "" ""), 1))))"),"")</f>
        <v/>
      </c>
      <c r="D451" s="95">
        <f>dados_01!D451</f>
        <v>0</v>
      </c>
      <c r="E451" s="95" t="str">
        <f>CONCATENATE(LEFT(dados_01!E451,3),REPT("*",6),RIGHT(dados_01!E451,2))</f>
        <v>******</v>
      </c>
      <c r="F451" s="95">
        <f>dados_01!F451</f>
        <v>0</v>
      </c>
      <c r="G451" s="95">
        <f>dados_01!G451</f>
        <v>0</v>
      </c>
      <c r="H451" s="95">
        <f>dados_01!H451</f>
        <v>0</v>
      </c>
      <c r="I451" s="95">
        <f>dados_01!I451</f>
        <v>0</v>
      </c>
      <c r="J451" s="95"/>
      <c r="K451" s="95"/>
      <c r="L451" s="95"/>
      <c r="M451" s="95"/>
      <c r="N451" s="95"/>
      <c r="O451" s="95"/>
      <c r="P451" s="95"/>
      <c r="Q451" s="95"/>
      <c r="R451" s="95"/>
      <c r="S451" s="95"/>
      <c r="T451" s="95"/>
      <c r="U451" s="95"/>
      <c r="V451" s="95"/>
      <c r="W451" s="95"/>
      <c r="X451" s="95"/>
      <c r="Y451" s="95"/>
      <c r="Z451" s="95"/>
    </row>
    <row r="452" ht="15.75" customHeight="1" spans="1:26">
      <c r="A452" s="95">
        <f>dados_01!A452</f>
        <v>0</v>
      </c>
      <c r="B452" s="95">
        <f>dados_01!B452</f>
        <v>0</v>
      </c>
      <c r="C452" s="95" t="str">
        <f>IFERROR(__xludf.DUMMYFUNCTION("JOIN("". "", ARRAYFORMULA(IFERROR(LEFT(SPLIT(dados_01!C452, "" ""), 1))))"),"")</f>
        <v/>
      </c>
      <c r="D452" s="95">
        <f>dados_01!D452</f>
        <v>0</v>
      </c>
      <c r="E452" s="95" t="str">
        <f>CONCATENATE(LEFT(dados_01!E452,3),REPT("*",6),RIGHT(dados_01!E452,2))</f>
        <v>******</v>
      </c>
      <c r="F452" s="95">
        <f>dados_01!F452</f>
        <v>0</v>
      </c>
      <c r="G452" s="95">
        <f>dados_01!G452</f>
        <v>0</v>
      </c>
      <c r="H452" s="95">
        <f>dados_01!H452</f>
        <v>0</v>
      </c>
      <c r="I452" s="95">
        <f>dados_01!I452</f>
        <v>0</v>
      </c>
      <c r="J452" s="95"/>
      <c r="K452" s="95"/>
      <c r="L452" s="95"/>
      <c r="M452" s="95"/>
      <c r="N452" s="95"/>
      <c r="O452" s="95"/>
      <c r="P452" s="95"/>
      <c r="Q452" s="95"/>
      <c r="R452" s="95"/>
      <c r="S452" s="95"/>
      <c r="T452" s="95"/>
      <c r="U452" s="95"/>
      <c r="V452" s="95"/>
      <c r="W452" s="95"/>
      <c r="X452" s="95"/>
      <c r="Y452" s="95"/>
      <c r="Z452" s="95"/>
    </row>
    <row r="453" ht="15.75" customHeight="1" spans="1:26">
      <c r="A453" s="95">
        <f>dados_01!A453</f>
        <v>0</v>
      </c>
      <c r="B453" s="95">
        <f>dados_01!B453</f>
        <v>0</v>
      </c>
      <c r="C453" s="95" t="str">
        <f>IFERROR(__xludf.DUMMYFUNCTION("JOIN("". "", ARRAYFORMULA(IFERROR(LEFT(SPLIT(dados_01!C453, "" ""), 1))))"),"")</f>
        <v/>
      </c>
      <c r="D453" s="95">
        <f>dados_01!D453</f>
        <v>0</v>
      </c>
      <c r="E453" s="95" t="str">
        <f>CONCATENATE(LEFT(dados_01!E453,3),REPT("*",6),RIGHT(dados_01!E453,2))</f>
        <v>******</v>
      </c>
      <c r="F453" s="95">
        <f>dados_01!F453</f>
        <v>0</v>
      </c>
      <c r="G453" s="95">
        <f>dados_01!G453</f>
        <v>0</v>
      </c>
      <c r="H453" s="95">
        <f>dados_01!H453</f>
        <v>0</v>
      </c>
      <c r="I453" s="95">
        <f>dados_01!I453</f>
        <v>0</v>
      </c>
      <c r="J453" s="95"/>
      <c r="K453" s="95"/>
      <c r="L453" s="95"/>
      <c r="M453" s="95"/>
      <c r="N453" s="95"/>
      <c r="O453" s="95"/>
      <c r="P453" s="95"/>
      <c r="Q453" s="95"/>
      <c r="R453" s="95"/>
      <c r="S453" s="95"/>
      <c r="T453" s="95"/>
      <c r="U453" s="95"/>
      <c r="V453" s="95"/>
      <c r="W453" s="95"/>
      <c r="X453" s="95"/>
      <c r="Y453" s="95"/>
      <c r="Z453" s="95"/>
    </row>
    <row r="454" ht="15.75" customHeight="1" spans="1:26">
      <c r="A454" s="95">
        <f>dados_01!A454</f>
        <v>0</v>
      </c>
      <c r="B454" s="95">
        <f>dados_01!B454</f>
        <v>0</v>
      </c>
      <c r="C454" s="95" t="str">
        <f>IFERROR(__xludf.DUMMYFUNCTION("JOIN("". "", ARRAYFORMULA(IFERROR(LEFT(SPLIT(dados_01!C454, "" ""), 1))))"),"")</f>
        <v/>
      </c>
      <c r="D454" s="95">
        <f>dados_01!D454</f>
        <v>0</v>
      </c>
      <c r="E454" s="95" t="str">
        <f>CONCATENATE(LEFT(dados_01!E454,3),REPT("*",6),RIGHT(dados_01!E454,2))</f>
        <v>******</v>
      </c>
      <c r="F454" s="95">
        <f>dados_01!F454</f>
        <v>0</v>
      </c>
      <c r="G454" s="95">
        <f>dados_01!G454</f>
        <v>0</v>
      </c>
      <c r="H454" s="95">
        <f>dados_01!H454</f>
        <v>0</v>
      </c>
      <c r="I454" s="95">
        <f>dados_01!I454</f>
        <v>0</v>
      </c>
      <c r="J454" s="95"/>
      <c r="K454" s="95"/>
      <c r="L454" s="95"/>
      <c r="M454" s="95"/>
      <c r="N454" s="95"/>
      <c r="O454" s="95"/>
      <c r="P454" s="95"/>
      <c r="Q454" s="95"/>
      <c r="R454" s="95"/>
      <c r="S454" s="95"/>
      <c r="T454" s="95"/>
      <c r="U454" s="95"/>
      <c r="V454" s="95"/>
      <c r="W454" s="95"/>
      <c r="X454" s="95"/>
      <c r="Y454" s="95"/>
      <c r="Z454" s="95"/>
    </row>
    <row r="455" ht="15.75" customHeight="1" spans="1:26">
      <c r="A455" s="95">
        <f>dados_01!A455</f>
        <v>0</v>
      </c>
      <c r="B455" s="95">
        <f>dados_01!B455</f>
        <v>0</v>
      </c>
      <c r="C455" s="95" t="str">
        <f>IFERROR(__xludf.DUMMYFUNCTION("JOIN("". "", ARRAYFORMULA(IFERROR(LEFT(SPLIT(dados_01!C455, "" ""), 1))))"),"")</f>
        <v/>
      </c>
      <c r="D455" s="95">
        <f>dados_01!D455</f>
        <v>0</v>
      </c>
      <c r="E455" s="95" t="str">
        <f>CONCATENATE(LEFT(dados_01!E455,3),REPT("*",6),RIGHT(dados_01!E455,2))</f>
        <v>******</v>
      </c>
      <c r="F455" s="95">
        <f>dados_01!F455</f>
        <v>0</v>
      </c>
      <c r="G455" s="95">
        <f>dados_01!G455</f>
        <v>0</v>
      </c>
      <c r="H455" s="95">
        <f>dados_01!H455</f>
        <v>0</v>
      </c>
      <c r="I455" s="95">
        <f>dados_01!I455</f>
        <v>0</v>
      </c>
      <c r="J455" s="95"/>
      <c r="K455" s="95"/>
      <c r="L455" s="95"/>
      <c r="M455" s="95"/>
      <c r="N455" s="95"/>
      <c r="O455" s="95"/>
      <c r="P455" s="95"/>
      <c r="Q455" s="95"/>
      <c r="R455" s="95"/>
      <c r="S455" s="95"/>
      <c r="T455" s="95"/>
      <c r="U455" s="95"/>
      <c r="V455" s="95"/>
      <c r="W455" s="95"/>
      <c r="X455" s="95"/>
      <c r="Y455" s="95"/>
      <c r="Z455" s="95"/>
    </row>
    <row r="456" ht="15.75" customHeight="1" spans="1:26">
      <c r="A456" s="95">
        <f>dados_01!A456</f>
        <v>0</v>
      </c>
      <c r="B456" s="95">
        <f>dados_01!B456</f>
        <v>0</v>
      </c>
      <c r="C456" s="95" t="str">
        <f>IFERROR(__xludf.DUMMYFUNCTION("JOIN("". "", ARRAYFORMULA(IFERROR(LEFT(SPLIT(dados_01!C456, "" ""), 1))))"),"")</f>
        <v/>
      </c>
      <c r="D456" s="95">
        <f>dados_01!D456</f>
        <v>0</v>
      </c>
      <c r="E456" s="95" t="str">
        <f>CONCATENATE(LEFT(dados_01!E456,3),REPT("*",6),RIGHT(dados_01!E456,2))</f>
        <v>******</v>
      </c>
      <c r="F456" s="95">
        <f>dados_01!F456</f>
        <v>0</v>
      </c>
      <c r="G456" s="95">
        <f>dados_01!G456</f>
        <v>0</v>
      </c>
      <c r="H456" s="95">
        <f>dados_01!H456</f>
        <v>0</v>
      </c>
      <c r="I456" s="95">
        <f>dados_01!I456</f>
        <v>0</v>
      </c>
      <c r="J456" s="95"/>
      <c r="K456" s="95"/>
      <c r="L456" s="95"/>
      <c r="M456" s="95"/>
      <c r="N456" s="95"/>
      <c r="O456" s="95"/>
      <c r="P456" s="95"/>
      <c r="Q456" s="95"/>
      <c r="R456" s="95"/>
      <c r="S456" s="95"/>
      <c r="T456" s="95"/>
      <c r="U456" s="95"/>
      <c r="V456" s="95"/>
      <c r="W456" s="95"/>
      <c r="X456" s="95"/>
      <c r="Y456" s="95"/>
      <c r="Z456" s="95"/>
    </row>
    <row r="457" ht="15.75" customHeight="1" spans="1:26">
      <c r="A457" s="95">
        <f>dados_01!A457</f>
        <v>0</v>
      </c>
      <c r="B457" s="95">
        <f>dados_01!B457</f>
        <v>0</v>
      </c>
      <c r="C457" s="95" t="str">
        <f>IFERROR(__xludf.DUMMYFUNCTION("JOIN("". "", ARRAYFORMULA(IFERROR(LEFT(SPLIT(dados_01!C457, "" ""), 1))))"),"")</f>
        <v/>
      </c>
      <c r="D457" s="95">
        <f>dados_01!D457</f>
        <v>0</v>
      </c>
      <c r="E457" s="95" t="str">
        <f>CONCATENATE(LEFT(dados_01!E457,3),REPT("*",6),RIGHT(dados_01!E457,2))</f>
        <v>******</v>
      </c>
      <c r="F457" s="95">
        <f>dados_01!F457</f>
        <v>0</v>
      </c>
      <c r="G457" s="95">
        <f>dados_01!G457</f>
        <v>0</v>
      </c>
      <c r="H457" s="95">
        <f>dados_01!H457</f>
        <v>0</v>
      </c>
      <c r="I457" s="95">
        <f>dados_01!I457</f>
        <v>0</v>
      </c>
      <c r="J457" s="95"/>
      <c r="K457" s="95"/>
      <c r="L457" s="95"/>
      <c r="M457" s="95"/>
      <c r="N457" s="95"/>
      <c r="O457" s="95"/>
      <c r="P457" s="95"/>
      <c r="Q457" s="95"/>
      <c r="R457" s="95"/>
      <c r="S457" s="95"/>
      <c r="T457" s="95"/>
      <c r="U457" s="95"/>
      <c r="V457" s="95"/>
      <c r="W457" s="95"/>
      <c r="X457" s="95"/>
      <c r="Y457" s="95"/>
      <c r="Z457" s="95"/>
    </row>
    <row r="458" ht="15.75" customHeight="1" spans="1:26">
      <c r="A458" s="95">
        <f>dados_01!A458</f>
        <v>0</v>
      </c>
      <c r="B458" s="95">
        <f>dados_01!B458</f>
        <v>0</v>
      </c>
      <c r="C458" s="95" t="str">
        <f>IFERROR(__xludf.DUMMYFUNCTION("JOIN("". "", ARRAYFORMULA(IFERROR(LEFT(SPLIT(dados_01!C458, "" ""), 1))))"),"")</f>
        <v/>
      </c>
      <c r="D458" s="95">
        <f>dados_01!D458</f>
        <v>0</v>
      </c>
      <c r="E458" s="95" t="str">
        <f>CONCATENATE(LEFT(dados_01!E458,3),REPT("*",6),RIGHT(dados_01!E458,2))</f>
        <v>******</v>
      </c>
      <c r="F458" s="95">
        <f>dados_01!F458</f>
        <v>0</v>
      </c>
      <c r="G458" s="95">
        <f>dados_01!G458</f>
        <v>0</v>
      </c>
      <c r="H458" s="95">
        <f>dados_01!H458</f>
        <v>0</v>
      </c>
      <c r="I458" s="95">
        <f>dados_01!I458</f>
        <v>0</v>
      </c>
      <c r="J458" s="95"/>
      <c r="K458" s="95"/>
      <c r="L458" s="95"/>
      <c r="M458" s="95"/>
      <c r="N458" s="95"/>
      <c r="O458" s="95"/>
      <c r="P458" s="95"/>
      <c r="Q458" s="95"/>
      <c r="R458" s="95"/>
      <c r="S458" s="95"/>
      <c r="T458" s="95"/>
      <c r="U458" s="95"/>
      <c r="V458" s="95"/>
      <c r="W458" s="95"/>
      <c r="X458" s="95"/>
      <c r="Y458" s="95"/>
      <c r="Z458" s="95"/>
    </row>
    <row r="459" ht="15.75" customHeight="1" spans="1:26">
      <c r="A459" s="95">
        <f>dados_01!A459</f>
        <v>0</v>
      </c>
      <c r="B459" s="95">
        <f>dados_01!B459</f>
        <v>0</v>
      </c>
      <c r="C459" s="95" t="str">
        <f>IFERROR(__xludf.DUMMYFUNCTION("JOIN("". "", ARRAYFORMULA(IFERROR(LEFT(SPLIT(dados_01!C459, "" ""), 1))))"),"")</f>
        <v/>
      </c>
      <c r="D459" s="95">
        <f>dados_01!D459</f>
        <v>0</v>
      </c>
      <c r="E459" s="95" t="str">
        <f>CONCATENATE(LEFT(dados_01!E459,3),REPT("*",6),RIGHT(dados_01!E459,2))</f>
        <v>******</v>
      </c>
      <c r="F459" s="95">
        <f>dados_01!F459</f>
        <v>0</v>
      </c>
      <c r="G459" s="95">
        <f>dados_01!G459</f>
        <v>0</v>
      </c>
      <c r="H459" s="95">
        <f>dados_01!H459</f>
        <v>0</v>
      </c>
      <c r="I459" s="95">
        <f>dados_01!I459</f>
        <v>0</v>
      </c>
      <c r="J459" s="95"/>
      <c r="K459" s="95"/>
      <c r="L459" s="95"/>
      <c r="M459" s="95"/>
      <c r="N459" s="95"/>
      <c r="O459" s="95"/>
      <c r="P459" s="95"/>
      <c r="Q459" s="95"/>
      <c r="R459" s="95"/>
      <c r="S459" s="95"/>
      <c r="T459" s="95"/>
      <c r="U459" s="95"/>
      <c r="V459" s="95"/>
      <c r="W459" s="95"/>
      <c r="X459" s="95"/>
      <c r="Y459" s="95"/>
      <c r="Z459" s="95"/>
    </row>
    <row r="460" ht="15.75" customHeight="1" spans="1:26">
      <c r="A460" s="95">
        <f>dados_01!A460</f>
        <v>0</v>
      </c>
      <c r="B460" s="95">
        <f>dados_01!B460</f>
        <v>0</v>
      </c>
      <c r="C460" s="95" t="str">
        <f>IFERROR(__xludf.DUMMYFUNCTION("JOIN("". "", ARRAYFORMULA(IFERROR(LEFT(SPLIT(dados_01!C460, "" ""), 1))))"),"")</f>
        <v/>
      </c>
      <c r="D460" s="95">
        <f>dados_01!D460</f>
        <v>0</v>
      </c>
      <c r="E460" s="95" t="str">
        <f>CONCATENATE(LEFT(dados_01!E460,3),REPT("*",6),RIGHT(dados_01!E460,2))</f>
        <v>******</v>
      </c>
      <c r="F460" s="95">
        <f>dados_01!F460</f>
        <v>0</v>
      </c>
      <c r="G460" s="95">
        <f>dados_01!G460</f>
        <v>0</v>
      </c>
      <c r="H460" s="95">
        <f>dados_01!H460</f>
        <v>0</v>
      </c>
      <c r="I460" s="95">
        <f>dados_01!I460</f>
        <v>0</v>
      </c>
      <c r="J460" s="95"/>
      <c r="K460" s="95"/>
      <c r="L460" s="95"/>
      <c r="M460" s="95"/>
      <c r="N460" s="95"/>
      <c r="O460" s="95"/>
      <c r="P460" s="95"/>
      <c r="Q460" s="95"/>
      <c r="R460" s="95"/>
      <c r="S460" s="95"/>
      <c r="T460" s="95"/>
      <c r="U460" s="95"/>
      <c r="V460" s="95"/>
      <c r="W460" s="95"/>
      <c r="X460" s="95"/>
      <c r="Y460" s="95"/>
      <c r="Z460" s="95"/>
    </row>
    <row r="461" ht="15.75" customHeight="1" spans="1:26">
      <c r="A461" s="95">
        <f>dados_01!A461</f>
        <v>0</v>
      </c>
      <c r="B461" s="95">
        <f>dados_01!B461</f>
        <v>0</v>
      </c>
      <c r="C461" s="95" t="str">
        <f>IFERROR(__xludf.DUMMYFUNCTION("JOIN("". "", ARRAYFORMULA(IFERROR(LEFT(SPLIT(dados_01!C461, "" ""), 1))))"),"")</f>
        <v/>
      </c>
      <c r="D461" s="95">
        <f>dados_01!D461</f>
        <v>0</v>
      </c>
      <c r="E461" s="95" t="str">
        <f>CONCATENATE(LEFT(dados_01!E461,3),REPT("*",6),RIGHT(dados_01!E461,2))</f>
        <v>******</v>
      </c>
      <c r="F461" s="95">
        <f>dados_01!F461</f>
        <v>0</v>
      </c>
      <c r="G461" s="95">
        <f>dados_01!G461</f>
        <v>0</v>
      </c>
      <c r="H461" s="95">
        <f>dados_01!H461</f>
        <v>0</v>
      </c>
      <c r="I461" s="95">
        <f>dados_01!I461</f>
        <v>0</v>
      </c>
      <c r="J461" s="95"/>
      <c r="K461" s="95"/>
      <c r="L461" s="95"/>
      <c r="M461" s="95"/>
      <c r="N461" s="95"/>
      <c r="O461" s="95"/>
      <c r="P461" s="95"/>
      <c r="Q461" s="95"/>
      <c r="R461" s="95"/>
      <c r="S461" s="95"/>
      <c r="T461" s="95"/>
      <c r="U461" s="95"/>
      <c r="V461" s="95"/>
      <c r="W461" s="95"/>
      <c r="X461" s="95"/>
      <c r="Y461" s="95"/>
      <c r="Z461" s="95"/>
    </row>
    <row r="462" ht="15.75" customHeight="1" spans="1:26">
      <c r="A462" s="95">
        <f>dados_01!A462</f>
        <v>0</v>
      </c>
      <c r="B462" s="95">
        <f>dados_01!B462</f>
        <v>0</v>
      </c>
      <c r="C462" s="95" t="str">
        <f>IFERROR(__xludf.DUMMYFUNCTION("JOIN("". "", ARRAYFORMULA(IFERROR(LEFT(SPLIT(dados_01!C462, "" ""), 1))))"),"")</f>
        <v/>
      </c>
      <c r="D462" s="95">
        <f>dados_01!D462</f>
        <v>0</v>
      </c>
      <c r="E462" s="95" t="str">
        <f>CONCATENATE(LEFT(dados_01!E462,3),REPT("*",6),RIGHT(dados_01!E462,2))</f>
        <v>******</v>
      </c>
      <c r="F462" s="95">
        <f>dados_01!F462</f>
        <v>0</v>
      </c>
      <c r="G462" s="95">
        <f>dados_01!G462</f>
        <v>0</v>
      </c>
      <c r="H462" s="95">
        <f>dados_01!H462</f>
        <v>0</v>
      </c>
      <c r="I462" s="95">
        <f>dados_01!I462</f>
        <v>0</v>
      </c>
      <c r="J462" s="95"/>
      <c r="K462" s="95"/>
      <c r="L462" s="95"/>
      <c r="M462" s="95"/>
      <c r="N462" s="95"/>
      <c r="O462" s="95"/>
      <c r="P462" s="95"/>
      <c r="Q462" s="95"/>
      <c r="R462" s="95"/>
      <c r="S462" s="95"/>
      <c r="T462" s="95"/>
      <c r="U462" s="95"/>
      <c r="V462" s="95"/>
      <c r="W462" s="95"/>
      <c r="X462" s="95"/>
      <c r="Y462" s="95"/>
      <c r="Z462" s="95"/>
    </row>
    <row r="463" ht="15.75" customHeight="1" spans="1:26">
      <c r="A463" s="95">
        <f>dados_01!A463</f>
        <v>0</v>
      </c>
      <c r="B463" s="95">
        <f>dados_01!B463</f>
        <v>0</v>
      </c>
      <c r="C463" s="95" t="str">
        <f>IFERROR(__xludf.DUMMYFUNCTION("JOIN("". "", ARRAYFORMULA(IFERROR(LEFT(SPLIT(dados_01!C463, "" ""), 1))))"),"")</f>
        <v/>
      </c>
      <c r="D463" s="95">
        <f>dados_01!D463</f>
        <v>0</v>
      </c>
      <c r="E463" s="95" t="str">
        <f>CONCATENATE(LEFT(dados_01!E463,3),REPT("*",6),RIGHT(dados_01!E463,2))</f>
        <v>******</v>
      </c>
      <c r="F463" s="95">
        <f>dados_01!F463</f>
        <v>0</v>
      </c>
      <c r="G463" s="95">
        <f>dados_01!G463</f>
        <v>0</v>
      </c>
      <c r="H463" s="95">
        <f>dados_01!H463</f>
        <v>0</v>
      </c>
      <c r="I463" s="95">
        <f>dados_01!I463</f>
        <v>0</v>
      </c>
      <c r="J463" s="95"/>
      <c r="K463" s="95"/>
      <c r="L463" s="95"/>
      <c r="M463" s="95"/>
      <c r="N463" s="95"/>
      <c r="O463" s="95"/>
      <c r="P463" s="95"/>
      <c r="Q463" s="95"/>
      <c r="R463" s="95"/>
      <c r="S463" s="95"/>
      <c r="T463" s="95"/>
      <c r="U463" s="95"/>
      <c r="V463" s="95"/>
      <c r="W463" s="95"/>
      <c r="X463" s="95"/>
      <c r="Y463" s="95"/>
      <c r="Z463" s="95"/>
    </row>
    <row r="464" ht="15.75" customHeight="1" spans="1:26">
      <c r="A464" s="95">
        <f>dados_01!A464</f>
        <v>0</v>
      </c>
      <c r="B464" s="95">
        <f>dados_01!B464</f>
        <v>0</v>
      </c>
      <c r="C464" s="95" t="str">
        <f>IFERROR(__xludf.DUMMYFUNCTION("JOIN("". "", ARRAYFORMULA(IFERROR(LEFT(SPLIT(dados_01!C464, "" ""), 1))))"),"")</f>
        <v/>
      </c>
      <c r="D464" s="95">
        <f>dados_01!D464</f>
        <v>0</v>
      </c>
      <c r="E464" s="95" t="str">
        <f>CONCATENATE(LEFT(dados_01!E464,3),REPT("*",6),RIGHT(dados_01!E464,2))</f>
        <v>******</v>
      </c>
      <c r="F464" s="95">
        <f>dados_01!F464</f>
        <v>0</v>
      </c>
      <c r="G464" s="95">
        <f>dados_01!G464</f>
        <v>0</v>
      </c>
      <c r="H464" s="95">
        <f>dados_01!H464</f>
        <v>0</v>
      </c>
      <c r="I464" s="95">
        <f>dados_01!I464</f>
        <v>0</v>
      </c>
      <c r="J464" s="95"/>
      <c r="K464" s="95"/>
      <c r="L464" s="95"/>
      <c r="M464" s="95"/>
      <c r="N464" s="95"/>
      <c r="O464" s="95"/>
      <c r="P464" s="95"/>
      <c r="Q464" s="95"/>
      <c r="R464" s="95"/>
      <c r="S464" s="95"/>
      <c r="T464" s="95"/>
      <c r="U464" s="95"/>
      <c r="V464" s="95"/>
      <c r="W464" s="95"/>
      <c r="X464" s="95"/>
      <c r="Y464" s="95"/>
      <c r="Z464" s="95"/>
    </row>
    <row r="465" ht="15.75" customHeight="1" spans="1:26">
      <c r="A465" s="95">
        <f>dados_01!A465</f>
        <v>0</v>
      </c>
      <c r="B465" s="95">
        <f>dados_01!B465</f>
        <v>0</v>
      </c>
      <c r="C465" s="95" t="str">
        <f>IFERROR(__xludf.DUMMYFUNCTION("JOIN("". "", ARRAYFORMULA(IFERROR(LEFT(SPLIT(dados_01!C465, "" ""), 1))))"),"")</f>
        <v/>
      </c>
      <c r="D465" s="95">
        <f>dados_01!D465</f>
        <v>0</v>
      </c>
      <c r="E465" s="95" t="str">
        <f>CONCATENATE(LEFT(dados_01!E465,3),REPT("*",6),RIGHT(dados_01!E465,2))</f>
        <v>******</v>
      </c>
      <c r="F465" s="95">
        <f>dados_01!F465</f>
        <v>0</v>
      </c>
      <c r="G465" s="95">
        <f>dados_01!G465</f>
        <v>0</v>
      </c>
      <c r="H465" s="95">
        <f>dados_01!H465</f>
        <v>0</v>
      </c>
      <c r="I465" s="95">
        <f>dados_01!I465</f>
        <v>0</v>
      </c>
      <c r="J465" s="95"/>
      <c r="K465" s="95"/>
      <c r="L465" s="95"/>
      <c r="M465" s="95"/>
      <c r="N465" s="95"/>
      <c r="O465" s="95"/>
      <c r="P465" s="95"/>
      <c r="Q465" s="95"/>
      <c r="R465" s="95"/>
      <c r="S465" s="95"/>
      <c r="T465" s="95"/>
      <c r="U465" s="95"/>
      <c r="V465" s="95"/>
      <c r="W465" s="95"/>
      <c r="X465" s="95"/>
      <c r="Y465" s="95"/>
      <c r="Z465" s="95"/>
    </row>
    <row r="466" ht="15.75" customHeight="1" spans="1:26">
      <c r="A466" s="95">
        <f>dados_01!A466</f>
        <v>0</v>
      </c>
      <c r="B466" s="95">
        <f>dados_01!B466</f>
        <v>0</v>
      </c>
      <c r="C466" s="95" t="str">
        <f>IFERROR(__xludf.DUMMYFUNCTION("JOIN("". "", ARRAYFORMULA(IFERROR(LEFT(SPLIT(dados_01!C466, "" ""), 1))))"),"")</f>
        <v/>
      </c>
      <c r="D466" s="95">
        <f>dados_01!D466</f>
        <v>0</v>
      </c>
      <c r="E466" s="95" t="str">
        <f>CONCATENATE(LEFT(dados_01!E466,3),REPT("*",6),RIGHT(dados_01!E466,2))</f>
        <v>******</v>
      </c>
      <c r="F466" s="95">
        <f>dados_01!F466</f>
        <v>0</v>
      </c>
      <c r="G466" s="95">
        <f>dados_01!G466</f>
        <v>0</v>
      </c>
      <c r="H466" s="95">
        <f>dados_01!H466</f>
        <v>0</v>
      </c>
      <c r="I466" s="95">
        <f>dados_01!I466</f>
        <v>0</v>
      </c>
      <c r="J466" s="95"/>
      <c r="K466" s="95"/>
      <c r="L466" s="95"/>
      <c r="M466" s="95"/>
      <c r="N466" s="95"/>
      <c r="O466" s="95"/>
      <c r="P466" s="95"/>
      <c r="Q466" s="95"/>
      <c r="R466" s="95"/>
      <c r="S466" s="95"/>
      <c r="T466" s="95"/>
      <c r="U466" s="95"/>
      <c r="V466" s="95"/>
      <c r="W466" s="95"/>
      <c r="X466" s="95"/>
      <c r="Y466" s="95"/>
      <c r="Z466" s="95"/>
    </row>
    <row r="467" ht="15.75" customHeight="1" spans="1:26">
      <c r="A467" s="95">
        <f>dados_01!A467</f>
        <v>0</v>
      </c>
      <c r="B467" s="95">
        <f>dados_01!B467</f>
        <v>0</v>
      </c>
      <c r="C467" s="95" t="str">
        <f>IFERROR(__xludf.DUMMYFUNCTION("JOIN("". "", ARRAYFORMULA(IFERROR(LEFT(SPLIT(dados_01!C467, "" ""), 1))))"),"")</f>
        <v/>
      </c>
      <c r="D467" s="95">
        <f>dados_01!D467</f>
        <v>0</v>
      </c>
      <c r="E467" s="95" t="str">
        <f>CONCATENATE(LEFT(dados_01!E467,3),REPT("*",6),RIGHT(dados_01!E467,2))</f>
        <v>******</v>
      </c>
      <c r="F467" s="95">
        <f>dados_01!F467</f>
        <v>0</v>
      </c>
      <c r="G467" s="95">
        <f>dados_01!G467</f>
        <v>0</v>
      </c>
      <c r="H467" s="95">
        <f>dados_01!H467</f>
        <v>0</v>
      </c>
      <c r="I467" s="95">
        <f>dados_01!I467</f>
        <v>0</v>
      </c>
      <c r="J467" s="95"/>
      <c r="K467" s="95"/>
      <c r="L467" s="95"/>
      <c r="M467" s="95"/>
      <c r="N467" s="95"/>
      <c r="O467" s="95"/>
      <c r="P467" s="95"/>
      <c r="Q467" s="95"/>
      <c r="R467" s="95"/>
      <c r="S467" s="95"/>
      <c r="T467" s="95"/>
      <c r="U467" s="95"/>
      <c r="V467" s="95"/>
      <c r="W467" s="95"/>
      <c r="X467" s="95"/>
      <c r="Y467" s="95"/>
      <c r="Z467" s="95"/>
    </row>
    <row r="468" ht="15.75" customHeight="1" spans="1:26">
      <c r="A468" s="95">
        <f>dados_01!A468</f>
        <v>0</v>
      </c>
      <c r="B468" s="95">
        <f>dados_01!B468</f>
        <v>0</v>
      </c>
      <c r="C468" s="95" t="str">
        <f>IFERROR(__xludf.DUMMYFUNCTION("JOIN("". "", ARRAYFORMULA(IFERROR(LEFT(SPLIT(dados_01!C468, "" ""), 1))))"),"")</f>
        <v/>
      </c>
      <c r="D468" s="95">
        <f>dados_01!D468</f>
        <v>0</v>
      </c>
      <c r="E468" s="95" t="str">
        <f>CONCATENATE(LEFT(dados_01!E468,3),REPT("*",6),RIGHT(dados_01!E468,2))</f>
        <v>******</v>
      </c>
      <c r="F468" s="95">
        <f>dados_01!F468</f>
        <v>0</v>
      </c>
      <c r="G468" s="95">
        <f>dados_01!G468</f>
        <v>0</v>
      </c>
      <c r="H468" s="95">
        <f>dados_01!H468</f>
        <v>0</v>
      </c>
      <c r="I468" s="95">
        <f>dados_01!I468</f>
        <v>0</v>
      </c>
      <c r="J468" s="95"/>
      <c r="K468" s="95"/>
      <c r="L468" s="95"/>
      <c r="M468" s="95"/>
      <c r="N468" s="95"/>
      <c r="O468" s="95"/>
      <c r="P468" s="95"/>
      <c r="Q468" s="95"/>
      <c r="R468" s="95"/>
      <c r="S468" s="95"/>
      <c r="T468" s="95"/>
      <c r="U468" s="95"/>
      <c r="V468" s="95"/>
      <c r="W468" s="95"/>
      <c r="X468" s="95"/>
      <c r="Y468" s="95"/>
      <c r="Z468" s="95"/>
    </row>
    <row r="469" ht="15.75" customHeight="1" spans="1:26">
      <c r="A469" s="95">
        <f>dados_01!A469</f>
        <v>0</v>
      </c>
      <c r="B469" s="95">
        <f>dados_01!B469</f>
        <v>0</v>
      </c>
      <c r="C469" s="95" t="str">
        <f>IFERROR(__xludf.DUMMYFUNCTION("JOIN("". "", ARRAYFORMULA(IFERROR(LEFT(SPLIT(dados_01!C469, "" ""), 1))))"),"")</f>
        <v/>
      </c>
      <c r="D469" s="95">
        <f>dados_01!D469</f>
        <v>0</v>
      </c>
      <c r="E469" s="95" t="str">
        <f>CONCATENATE(LEFT(dados_01!E469,3),REPT("*",6),RIGHT(dados_01!E469,2))</f>
        <v>******</v>
      </c>
      <c r="F469" s="95">
        <f>dados_01!F469</f>
        <v>0</v>
      </c>
      <c r="G469" s="95">
        <f>dados_01!G469</f>
        <v>0</v>
      </c>
      <c r="H469" s="95">
        <f>dados_01!H469</f>
        <v>0</v>
      </c>
      <c r="I469" s="95">
        <f>dados_01!I469</f>
        <v>0</v>
      </c>
      <c r="J469" s="95"/>
      <c r="K469" s="95"/>
      <c r="L469" s="95"/>
      <c r="M469" s="95"/>
      <c r="N469" s="95"/>
      <c r="O469" s="95"/>
      <c r="P469" s="95"/>
      <c r="Q469" s="95"/>
      <c r="R469" s="95"/>
      <c r="S469" s="95"/>
      <c r="T469" s="95"/>
      <c r="U469" s="95"/>
      <c r="V469" s="95"/>
      <c r="W469" s="95"/>
      <c r="X469" s="95"/>
      <c r="Y469" s="95"/>
      <c r="Z469" s="95"/>
    </row>
    <row r="470" ht="15.75" customHeight="1" spans="1:26">
      <c r="A470" s="95">
        <f>dados_01!A470</f>
        <v>0</v>
      </c>
      <c r="B470" s="95">
        <f>dados_01!B470</f>
        <v>0</v>
      </c>
      <c r="C470" s="95" t="str">
        <f>IFERROR(__xludf.DUMMYFUNCTION("JOIN("". "", ARRAYFORMULA(IFERROR(LEFT(SPLIT(dados_01!C470, "" ""), 1))))"),"")</f>
        <v/>
      </c>
      <c r="D470" s="95">
        <f>dados_01!D470</f>
        <v>0</v>
      </c>
      <c r="E470" s="95" t="str">
        <f>CONCATENATE(LEFT(dados_01!E470,3),REPT("*",6),RIGHT(dados_01!E470,2))</f>
        <v>******</v>
      </c>
      <c r="F470" s="95">
        <f>dados_01!F470</f>
        <v>0</v>
      </c>
      <c r="G470" s="95">
        <f>dados_01!G470</f>
        <v>0</v>
      </c>
      <c r="H470" s="95">
        <f>dados_01!H470</f>
        <v>0</v>
      </c>
      <c r="I470" s="95">
        <f>dados_01!I470</f>
        <v>0</v>
      </c>
      <c r="J470" s="95"/>
      <c r="K470" s="95"/>
      <c r="L470" s="95"/>
      <c r="M470" s="95"/>
      <c r="N470" s="95"/>
      <c r="O470" s="95"/>
      <c r="P470" s="95"/>
      <c r="Q470" s="95"/>
      <c r="R470" s="95"/>
      <c r="S470" s="95"/>
      <c r="T470" s="95"/>
      <c r="U470" s="95"/>
      <c r="V470" s="95"/>
      <c r="W470" s="95"/>
      <c r="X470" s="95"/>
      <c r="Y470" s="95"/>
      <c r="Z470" s="95"/>
    </row>
    <row r="471" ht="15.75" customHeight="1" spans="1:26">
      <c r="A471" s="95">
        <f>dados_01!A471</f>
        <v>0</v>
      </c>
      <c r="B471" s="95">
        <f>dados_01!B471</f>
        <v>0</v>
      </c>
      <c r="C471" s="95" t="str">
        <f>IFERROR(__xludf.DUMMYFUNCTION("JOIN("". "", ARRAYFORMULA(IFERROR(LEFT(SPLIT(dados_01!C471, "" ""), 1))))"),"")</f>
        <v/>
      </c>
      <c r="D471" s="95">
        <f>dados_01!D471</f>
        <v>0</v>
      </c>
      <c r="E471" s="95" t="str">
        <f>CONCATENATE(LEFT(dados_01!E471,3),REPT("*",6),RIGHT(dados_01!E471,2))</f>
        <v>******</v>
      </c>
      <c r="F471" s="95">
        <f>dados_01!F471</f>
        <v>0</v>
      </c>
      <c r="G471" s="95">
        <f>dados_01!G471</f>
        <v>0</v>
      </c>
      <c r="H471" s="95">
        <f>dados_01!H471</f>
        <v>0</v>
      </c>
      <c r="I471" s="95">
        <f>dados_01!I471</f>
        <v>0</v>
      </c>
      <c r="J471" s="95"/>
      <c r="K471" s="95"/>
      <c r="L471" s="95"/>
      <c r="M471" s="95"/>
      <c r="N471" s="95"/>
      <c r="O471" s="95"/>
      <c r="P471" s="95"/>
      <c r="Q471" s="95"/>
      <c r="R471" s="95"/>
      <c r="S471" s="95"/>
      <c r="T471" s="95"/>
      <c r="U471" s="95"/>
      <c r="V471" s="95"/>
      <c r="W471" s="95"/>
      <c r="X471" s="95"/>
      <c r="Y471" s="95"/>
      <c r="Z471" s="95"/>
    </row>
    <row r="472" ht="15.75" customHeight="1" spans="1:26">
      <c r="A472" s="95">
        <f>dados_01!A472</f>
        <v>0</v>
      </c>
      <c r="B472" s="95">
        <f>dados_01!B472</f>
        <v>0</v>
      </c>
      <c r="C472" s="95" t="str">
        <f>IFERROR(__xludf.DUMMYFUNCTION("JOIN("". "", ARRAYFORMULA(IFERROR(LEFT(SPLIT(dados_01!C472, "" ""), 1))))"),"")</f>
        <v/>
      </c>
      <c r="D472" s="95">
        <f>dados_01!D472</f>
        <v>0</v>
      </c>
      <c r="E472" s="95" t="str">
        <f>CONCATENATE(LEFT(dados_01!E472,3),REPT("*",6),RIGHT(dados_01!E472,2))</f>
        <v>******</v>
      </c>
      <c r="F472" s="95">
        <f>dados_01!F472</f>
        <v>0</v>
      </c>
      <c r="G472" s="95">
        <f>dados_01!G472</f>
        <v>0</v>
      </c>
      <c r="H472" s="95">
        <f>dados_01!H472</f>
        <v>0</v>
      </c>
      <c r="I472" s="95">
        <f>dados_01!I472</f>
        <v>0</v>
      </c>
      <c r="J472" s="95"/>
      <c r="K472" s="95"/>
      <c r="L472" s="95"/>
      <c r="M472" s="95"/>
      <c r="N472" s="95"/>
      <c r="O472" s="95"/>
      <c r="P472" s="95"/>
      <c r="Q472" s="95"/>
      <c r="R472" s="95"/>
      <c r="S472" s="95"/>
      <c r="T472" s="95"/>
      <c r="U472" s="95"/>
      <c r="V472" s="95"/>
      <c r="W472" s="95"/>
      <c r="X472" s="95"/>
      <c r="Y472" s="95"/>
      <c r="Z472" s="95"/>
    </row>
    <row r="473" ht="15.75" customHeight="1" spans="1:26">
      <c r="A473" s="95">
        <f>dados_01!A473</f>
        <v>0</v>
      </c>
      <c r="B473" s="95">
        <f>dados_01!B473</f>
        <v>0</v>
      </c>
      <c r="C473" s="95" t="str">
        <f>IFERROR(__xludf.DUMMYFUNCTION("JOIN("". "", ARRAYFORMULA(IFERROR(LEFT(SPLIT(dados_01!C473, "" ""), 1))))"),"")</f>
        <v/>
      </c>
      <c r="D473" s="95">
        <f>dados_01!D473</f>
        <v>0</v>
      </c>
      <c r="E473" s="95" t="str">
        <f>CONCATENATE(LEFT(dados_01!E473,3),REPT("*",6),RIGHT(dados_01!E473,2))</f>
        <v>******</v>
      </c>
      <c r="F473" s="95">
        <f>dados_01!F473</f>
        <v>0</v>
      </c>
      <c r="G473" s="95">
        <f>dados_01!G473</f>
        <v>0</v>
      </c>
      <c r="H473" s="95">
        <f>dados_01!H473</f>
        <v>0</v>
      </c>
      <c r="I473" s="95">
        <f>dados_01!I473</f>
        <v>0</v>
      </c>
      <c r="J473" s="95"/>
      <c r="K473" s="95"/>
      <c r="L473" s="95"/>
      <c r="M473" s="95"/>
      <c r="N473" s="95"/>
      <c r="O473" s="95"/>
      <c r="P473" s="95"/>
      <c r="Q473" s="95"/>
      <c r="R473" s="95"/>
      <c r="S473" s="95"/>
      <c r="T473" s="95"/>
      <c r="U473" s="95"/>
      <c r="V473" s="95"/>
      <c r="W473" s="95"/>
      <c r="X473" s="95"/>
      <c r="Y473" s="95"/>
      <c r="Z473" s="95"/>
    </row>
    <row r="474" ht="15.75" customHeight="1" spans="1:26">
      <c r="A474" s="95">
        <f>dados_01!A474</f>
        <v>0</v>
      </c>
      <c r="B474" s="95">
        <f>dados_01!B474</f>
        <v>0</v>
      </c>
      <c r="C474" s="95" t="str">
        <f>IFERROR(__xludf.DUMMYFUNCTION("JOIN("". "", ARRAYFORMULA(IFERROR(LEFT(SPLIT(dados_01!C474, "" ""), 1))))"),"")</f>
        <v/>
      </c>
      <c r="D474" s="95">
        <f>dados_01!D474</f>
        <v>0</v>
      </c>
      <c r="E474" s="95" t="str">
        <f>CONCATENATE(LEFT(dados_01!E474,3),REPT("*",6),RIGHT(dados_01!E474,2))</f>
        <v>******</v>
      </c>
      <c r="F474" s="95">
        <f>dados_01!F474</f>
        <v>0</v>
      </c>
      <c r="G474" s="95">
        <f>dados_01!G474</f>
        <v>0</v>
      </c>
      <c r="H474" s="95">
        <f>dados_01!H474</f>
        <v>0</v>
      </c>
      <c r="I474" s="95">
        <f>dados_01!I474</f>
        <v>0</v>
      </c>
      <c r="J474" s="95"/>
      <c r="K474" s="95"/>
      <c r="L474" s="95"/>
      <c r="M474" s="95"/>
      <c r="N474" s="95"/>
      <c r="O474" s="95"/>
      <c r="P474" s="95"/>
      <c r="Q474" s="95"/>
      <c r="R474" s="95"/>
      <c r="S474" s="95"/>
      <c r="T474" s="95"/>
      <c r="U474" s="95"/>
      <c r="V474" s="95"/>
      <c r="W474" s="95"/>
      <c r="X474" s="95"/>
      <c r="Y474" s="95"/>
      <c r="Z474" s="95"/>
    </row>
    <row r="475" ht="15.75" customHeight="1" spans="1:26">
      <c r="A475" s="95">
        <f>dados_01!A475</f>
        <v>0</v>
      </c>
      <c r="B475" s="95">
        <f>dados_01!B475</f>
        <v>0</v>
      </c>
      <c r="C475" s="95" t="str">
        <f>IFERROR(__xludf.DUMMYFUNCTION("JOIN("". "", ARRAYFORMULA(IFERROR(LEFT(SPLIT(dados_01!C475, "" ""), 1))))"),"")</f>
        <v/>
      </c>
      <c r="D475" s="95">
        <f>dados_01!D475</f>
        <v>0</v>
      </c>
      <c r="E475" s="95" t="str">
        <f>CONCATENATE(LEFT(dados_01!E475,3),REPT("*",6),RIGHT(dados_01!E475,2))</f>
        <v>******</v>
      </c>
      <c r="F475" s="95">
        <f>dados_01!F475</f>
        <v>0</v>
      </c>
      <c r="G475" s="95">
        <f>dados_01!G475</f>
        <v>0</v>
      </c>
      <c r="H475" s="95">
        <f>dados_01!H475</f>
        <v>0</v>
      </c>
      <c r="I475" s="95">
        <f>dados_01!I475</f>
        <v>0</v>
      </c>
      <c r="J475" s="95"/>
      <c r="K475" s="95"/>
      <c r="L475" s="95"/>
      <c r="M475" s="95"/>
      <c r="N475" s="95"/>
      <c r="O475" s="95"/>
      <c r="P475" s="95"/>
      <c r="Q475" s="95"/>
      <c r="R475" s="95"/>
      <c r="S475" s="95"/>
      <c r="T475" s="95"/>
      <c r="U475" s="95"/>
      <c r="V475" s="95"/>
      <c r="W475" s="95"/>
      <c r="X475" s="95"/>
      <c r="Y475" s="95"/>
      <c r="Z475" s="95"/>
    </row>
    <row r="476" ht="15.75" customHeight="1" spans="1:26">
      <c r="A476" s="95">
        <f>dados_01!A476</f>
        <v>0</v>
      </c>
      <c r="B476" s="95">
        <f>dados_01!B476</f>
        <v>0</v>
      </c>
      <c r="C476" s="95" t="str">
        <f>IFERROR(__xludf.DUMMYFUNCTION("JOIN("". "", ARRAYFORMULA(IFERROR(LEFT(SPLIT(dados_01!C476, "" ""), 1))))"),"")</f>
        <v/>
      </c>
      <c r="D476" s="95">
        <f>dados_01!D476</f>
        <v>0</v>
      </c>
      <c r="E476" s="95" t="str">
        <f>CONCATENATE(LEFT(dados_01!E476,3),REPT("*",6),RIGHT(dados_01!E476,2))</f>
        <v>******</v>
      </c>
      <c r="F476" s="95">
        <f>dados_01!F476</f>
        <v>0</v>
      </c>
      <c r="G476" s="95">
        <f>dados_01!G476</f>
        <v>0</v>
      </c>
      <c r="H476" s="95">
        <f>dados_01!H476</f>
        <v>0</v>
      </c>
      <c r="I476" s="95">
        <f>dados_01!I476</f>
        <v>0</v>
      </c>
      <c r="J476" s="95"/>
      <c r="K476" s="95"/>
      <c r="L476" s="95"/>
      <c r="M476" s="95"/>
      <c r="N476" s="95"/>
      <c r="O476" s="95"/>
      <c r="P476" s="95"/>
      <c r="Q476" s="95"/>
      <c r="R476" s="95"/>
      <c r="S476" s="95"/>
      <c r="T476" s="95"/>
      <c r="U476" s="95"/>
      <c r="V476" s="95"/>
      <c r="W476" s="95"/>
      <c r="X476" s="95"/>
      <c r="Y476" s="95"/>
      <c r="Z476" s="95"/>
    </row>
    <row r="477" ht="15.75" customHeight="1" spans="1:26">
      <c r="A477" s="95">
        <f>dados_01!A477</f>
        <v>0</v>
      </c>
      <c r="B477" s="95">
        <f>dados_01!B477</f>
        <v>0</v>
      </c>
      <c r="C477" s="95" t="str">
        <f>IFERROR(__xludf.DUMMYFUNCTION("JOIN("". "", ARRAYFORMULA(IFERROR(LEFT(SPLIT(dados_01!C477, "" ""), 1))))"),"")</f>
        <v/>
      </c>
      <c r="D477" s="95">
        <f>dados_01!D477</f>
        <v>0</v>
      </c>
      <c r="E477" s="95" t="str">
        <f>CONCATENATE(LEFT(dados_01!E477,3),REPT("*",6),RIGHT(dados_01!E477,2))</f>
        <v>******</v>
      </c>
      <c r="F477" s="95">
        <f>dados_01!F477</f>
        <v>0</v>
      </c>
      <c r="G477" s="95">
        <f>dados_01!G477</f>
        <v>0</v>
      </c>
      <c r="H477" s="95">
        <f>dados_01!H477</f>
        <v>0</v>
      </c>
      <c r="I477" s="95">
        <f>dados_01!I477</f>
        <v>0</v>
      </c>
      <c r="J477" s="95"/>
      <c r="K477" s="95"/>
      <c r="L477" s="95"/>
      <c r="M477" s="95"/>
      <c r="N477" s="95"/>
      <c r="O477" s="95"/>
      <c r="P477" s="95"/>
      <c r="Q477" s="95"/>
      <c r="R477" s="95"/>
      <c r="S477" s="95"/>
      <c r="T477" s="95"/>
      <c r="U477" s="95"/>
      <c r="V477" s="95"/>
      <c r="W477" s="95"/>
      <c r="X477" s="95"/>
      <c r="Y477" s="95"/>
      <c r="Z477" s="95"/>
    </row>
    <row r="478" ht="15.75" customHeight="1" spans="1:26">
      <c r="A478" s="95">
        <f>dados_01!A478</f>
        <v>0</v>
      </c>
      <c r="B478" s="95">
        <f>dados_01!B478</f>
        <v>0</v>
      </c>
      <c r="C478" s="95" t="str">
        <f>IFERROR(__xludf.DUMMYFUNCTION("JOIN("". "", ARRAYFORMULA(IFERROR(LEFT(SPLIT(dados_01!C478, "" ""), 1))))"),"")</f>
        <v/>
      </c>
      <c r="D478" s="95">
        <f>dados_01!D478</f>
        <v>0</v>
      </c>
      <c r="E478" s="95" t="str">
        <f>CONCATENATE(LEFT(dados_01!E478,3),REPT("*",6),RIGHT(dados_01!E478,2))</f>
        <v>******</v>
      </c>
      <c r="F478" s="95">
        <f>dados_01!F478</f>
        <v>0</v>
      </c>
      <c r="G478" s="95">
        <f>dados_01!G478</f>
        <v>0</v>
      </c>
      <c r="H478" s="95">
        <f>dados_01!H478</f>
        <v>0</v>
      </c>
      <c r="I478" s="95">
        <f>dados_01!I478</f>
        <v>0</v>
      </c>
      <c r="J478" s="95"/>
      <c r="K478" s="95"/>
      <c r="L478" s="95"/>
      <c r="M478" s="95"/>
      <c r="N478" s="95"/>
      <c r="O478" s="95"/>
      <c r="P478" s="95"/>
      <c r="Q478" s="95"/>
      <c r="R478" s="95"/>
      <c r="S478" s="95"/>
      <c r="T478" s="95"/>
      <c r="U478" s="95"/>
      <c r="V478" s="95"/>
      <c r="W478" s="95"/>
      <c r="X478" s="95"/>
      <c r="Y478" s="95"/>
      <c r="Z478" s="95"/>
    </row>
    <row r="479" ht="15.75" customHeight="1" spans="1:26">
      <c r="A479" s="95">
        <f>dados_01!A479</f>
        <v>0</v>
      </c>
      <c r="B479" s="95">
        <f>dados_01!B479</f>
        <v>0</v>
      </c>
      <c r="C479" s="95" t="str">
        <f>IFERROR(__xludf.DUMMYFUNCTION("JOIN("". "", ARRAYFORMULA(IFERROR(LEFT(SPLIT(dados_01!C479, "" ""), 1))))"),"")</f>
        <v/>
      </c>
      <c r="D479" s="95">
        <f>dados_01!D479</f>
        <v>0</v>
      </c>
      <c r="E479" s="95" t="str">
        <f>CONCATENATE(LEFT(dados_01!E479,3),REPT("*",6),RIGHT(dados_01!E479,2))</f>
        <v>******</v>
      </c>
      <c r="F479" s="95">
        <f>dados_01!F479</f>
        <v>0</v>
      </c>
      <c r="G479" s="95">
        <f>dados_01!G479</f>
        <v>0</v>
      </c>
      <c r="H479" s="95">
        <f>dados_01!H479</f>
        <v>0</v>
      </c>
      <c r="I479" s="95">
        <f>dados_01!I479</f>
        <v>0</v>
      </c>
      <c r="J479" s="95"/>
      <c r="K479" s="95"/>
      <c r="L479" s="95"/>
      <c r="M479" s="95"/>
      <c r="N479" s="95"/>
      <c r="O479" s="95"/>
      <c r="P479" s="95"/>
      <c r="Q479" s="95"/>
      <c r="R479" s="95"/>
      <c r="S479" s="95"/>
      <c r="T479" s="95"/>
      <c r="U479" s="95"/>
      <c r="V479" s="95"/>
      <c r="W479" s="95"/>
      <c r="X479" s="95"/>
      <c r="Y479" s="95"/>
      <c r="Z479" s="95"/>
    </row>
    <row r="480" ht="15.75" customHeight="1" spans="1:26">
      <c r="A480" s="95">
        <f>dados_01!A480</f>
        <v>0</v>
      </c>
      <c r="B480" s="95">
        <f>dados_01!B480</f>
        <v>0</v>
      </c>
      <c r="C480" s="95" t="str">
        <f>IFERROR(__xludf.DUMMYFUNCTION("JOIN("". "", ARRAYFORMULA(IFERROR(LEFT(SPLIT(dados_01!C480, "" ""), 1))))"),"")</f>
        <v/>
      </c>
      <c r="D480" s="95">
        <f>dados_01!D480</f>
        <v>0</v>
      </c>
      <c r="E480" s="95" t="str">
        <f>CONCATENATE(LEFT(dados_01!E480,3),REPT("*",6),RIGHT(dados_01!E480,2))</f>
        <v>******</v>
      </c>
      <c r="F480" s="95">
        <f>dados_01!F480</f>
        <v>0</v>
      </c>
      <c r="G480" s="95">
        <f>dados_01!G480</f>
        <v>0</v>
      </c>
      <c r="H480" s="95">
        <f>dados_01!H480</f>
        <v>0</v>
      </c>
      <c r="I480" s="95">
        <f>dados_01!I480</f>
        <v>0</v>
      </c>
      <c r="J480" s="95"/>
      <c r="K480" s="95"/>
      <c r="L480" s="95"/>
      <c r="M480" s="95"/>
      <c r="N480" s="95"/>
      <c r="O480" s="95"/>
      <c r="P480" s="95"/>
      <c r="Q480" s="95"/>
      <c r="R480" s="95"/>
      <c r="S480" s="95"/>
      <c r="T480" s="95"/>
      <c r="U480" s="95"/>
      <c r="V480" s="95"/>
      <c r="W480" s="95"/>
      <c r="X480" s="95"/>
      <c r="Y480" s="95"/>
      <c r="Z480" s="95"/>
    </row>
    <row r="481" ht="15.75" customHeight="1" spans="1:26">
      <c r="A481" s="95">
        <f>dados_01!A481</f>
        <v>0</v>
      </c>
      <c r="B481" s="95">
        <f>dados_01!B481</f>
        <v>0</v>
      </c>
      <c r="C481" s="95" t="str">
        <f>IFERROR(__xludf.DUMMYFUNCTION("JOIN("". "", ARRAYFORMULA(IFERROR(LEFT(SPLIT(dados_01!C481, "" ""), 1))))"),"")</f>
        <v/>
      </c>
      <c r="D481" s="95">
        <f>dados_01!D481</f>
        <v>0</v>
      </c>
      <c r="E481" s="95" t="str">
        <f>CONCATENATE(LEFT(dados_01!E481,3),REPT("*",6),RIGHT(dados_01!E481,2))</f>
        <v>******</v>
      </c>
      <c r="F481" s="95">
        <f>dados_01!F481</f>
        <v>0</v>
      </c>
      <c r="G481" s="95">
        <f>dados_01!G481</f>
        <v>0</v>
      </c>
      <c r="H481" s="95">
        <f>dados_01!H481</f>
        <v>0</v>
      </c>
      <c r="I481" s="95">
        <f>dados_01!I481</f>
        <v>0</v>
      </c>
      <c r="J481" s="95"/>
      <c r="K481" s="95"/>
      <c r="L481" s="95"/>
      <c r="M481" s="95"/>
      <c r="N481" s="95"/>
      <c r="O481" s="95"/>
      <c r="P481" s="95"/>
      <c r="Q481" s="95"/>
      <c r="R481" s="95"/>
      <c r="S481" s="95"/>
      <c r="T481" s="95"/>
      <c r="U481" s="95"/>
      <c r="V481" s="95"/>
      <c r="W481" s="95"/>
      <c r="X481" s="95"/>
      <c r="Y481" s="95"/>
      <c r="Z481" s="95"/>
    </row>
    <row r="482" ht="15.75" customHeight="1" spans="1:26">
      <c r="A482" s="95">
        <f>dados_01!A482</f>
        <v>0</v>
      </c>
      <c r="B482" s="95">
        <f>dados_01!B482</f>
        <v>0</v>
      </c>
      <c r="C482" s="95" t="str">
        <f>IFERROR(__xludf.DUMMYFUNCTION("JOIN("". "", ARRAYFORMULA(IFERROR(LEFT(SPLIT(dados_01!C482, "" ""), 1))))"),"")</f>
        <v/>
      </c>
      <c r="D482" s="95">
        <f>dados_01!D482</f>
        <v>0</v>
      </c>
      <c r="E482" s="95" t="str">
        <f>CONCATENATE(LEFT(dados_01!E482,3),REPT("*",6),RIGHT(dados_01!E482,2))</f>
        <v>******</v>
      </c>
      <c r="F482" s="95">
        <f>dados_01!F482</f>
        <v>0</v>
      </c>
      <c r="G482" s="95">
        <f>dados_01!G482</f>
        <v>0</v>
      </c>
      <c r="H482" s="95">
        <f>dados_01!H482</f>
        <v>0</v>
      </c>
      <c r="I482" s="95">
        <f>dados_01!I482</f>
        <v>0</v>
      </c>
      <c r="J482" s="95"/>
      <c r="K482" s="95"/>
      <c r="L482" s="95"/>
      <c r="M482" s="95"/>
      <c r="N482" s="95"/>
      <c r="O482" s="95"/>
      <c r="P482" s="95"/>
      <c r="Q482" s="95"/>
      <c r="R482" s="95"/>
      <c r="S482" s="95"/>
      <c r="T482" s="95"/>
      <c r="U482" s="95"/>
      <c r="V482" s="95"/>
      <c r="W482" s="95"/>
      <c r="X482" s="95"/>
      <c r="Y482" s="95"/>
      <c r="Z482" s="95"/>
    </row>
    <row r="483" ht="15.75" customHeight="1" spans="1:26">
      <c r="A483" s="95">
        <f>dados_01!A483</f>
        <v>0</v>
      </c>
      <c r="B483" s="95">
        <f>dados_01!B483</f>
        <v>0</v>
      </c>
      <c r="C483" s="95" t="str">
        <f>IFERROR(__xludf.DUMMYFUNCTION("JOIN("". "", ARRAYFORMULA(IFERROR(LEFT(SPLIT(dados_01!C483, "" ""), 1))))"),"")</f>
        <v/>
      </c>
      <c r="D483" s="95">
        <f>dados_01!D483</f>
        <v>0</v>
      </c>
      <c r="E483" s="95" t="str">
        <f>CONCATENATE(LEFT(dados_01!E483,3),REPT("*",6),RIGHT(dados_01!E483,2))</f>
        <v>******</v>
      </c>
      <c r="F483" s="95">
        <f>dados_01!F483</f>
        <v>0</v>
      </c>
      <c r="G483" s="95">
        <f>dados_01!G483</f>
        <v>0</v>
      </c>
      <c r="H483" s="95">
        <f>dados_01!H483</f>
        <v>0</v>
      </c>
      <c r="I483" s="95">
        <f>dados_01!I483</f>
        <v>0</v>
      </c>
      <c r="J483" s="95"/>
      <c r="K483" s="95"/>
      <c r="L483" s="95"/>
      <c r="M483" s="95"/>
      <c r="N483" s="95"/>
      <c r="O483" s="95"/>
      <c r="P483" s="95"/>
      <c r="Q483" s="95"/>
      <c r="R483" s="95"/>
      <c r="S483" s="95"/>
      <c r="T483" s="95"/>
      <c r="U483" s="95"/>
      <c r="V483" s="95"/>
      <c r="W483" s="95"/>
      <c r="X483" s="95"/>
      <c r="Y483" s="95"/>
      <c r="Z483" s="95"/>
    </row>
    <row r="484" ht="15.75" customHeight="1" spans="1:26">
      <c r="A484" s="95">
        <f>dados_01!A484</f>
        <v>0</v>
      </c>
      <c r="B484" s="95">
        <f>dados_01!B484</f>
        <v>0</v>
      </c>
      <c r="C484" s="95" t="str">
        <f>IFERROR(__xludf.DUMMYFUNCTION("JOIN("". "", ARRAYFORMULA(IFERROR(LEFT(SPLIT(dados_01!C484, "" ""), 1))))"),"")</f>
        <v/>
      </c>
      <c r="D484" s="95">
        <f>dados_01!D484</f>
        <v>0</v>
      </c>
      <c r="E484" s="95" t="str">
        <f>CONCATENATE(LEFT(dados_01!E484,3),REPT("*",6),RIGHT(dados_01!E484,2))</f>
        <v>******</v>
      </c>
      <c r="F484" s="95">
        <f>dados_01!F484</f>
        <v>0</v>
      </c>
      <c r="G484" s="95">
        <f>dados_01!G484</f>
        <v>0</v>
      </c>
      <c r="H484" s="95">
        <f>dados_01!H484</f>
        <v>0</v>
      </c>
      <c r="I484" s="95">
        <f>dados_01!I484</f>
        <v>0</v>
      </c>
      <c r="J484" s="95"/>
      <c r="K484" s="95"/>
      <c r="L484" s="95"/>
      <c r="M484" s="95"/>
      <c r="N484" s="95"/>
      <c r="O484" s="95"/>
      <c r="P484" s="95"/>
      <c r="Q484" s="95"/>
      <c r="R484" s="95"/>
      <c r="S484" s="95"/>
      <c r="T484" s="95"/>
      <c r="U484" s="95"/>
      <c r="V484" s="95"/>
      <c r="W484" s="95"/>
      <c r="X484" s="95"/>
      <c r="Y484" s="95"/>
      <c r="Z484" s="95"/>
    </row>
    <row r="485" ht="15.75" customHeight="1" spans="1:26">
      <c r="A485" s="95">
        <f>dados_01!A485</f>
        <v>0</v>
      </c>
      <c r="B485" s="95">
        <f>dados_01!B485</f>
        <v>0</v>
      </c>
      <c r="C485" s="95" t="str">
        <f>IFERROR(__xludf.DUMMYFUNCTION("JOIN("". "", ARRAYFORMULA(IFERROR(LEFT(SPLIT(dados_01!C485, "" ""), 1))))"),"")</f>
        <v/>
      </c>
      <c r="D485" s="95">
        <f>dados_01!D485</f>
        <v>0</v>
      </c>
      <c r="E485" s="95" t="str">
        <f>CONCATENATE(LEFT(dados_01!E485,3),REPT("*",6),RIGHT(dados_01!E485,2))</f>
        <v>******</v>
      </c>
      <c r="F485" s="95">
        <f>dados_01!F485</f>
        <v>0</v>
      </c>
      <c r="G485" s="95">
        <f>dados_01!G485</f>
        <v>0</v>
      </c>
      <c r="H485" s="95">
        <f>dados_01!H485</f>
        <v>0</v>
      </c>
      <c r="I485" s="95">
        <f>dados_01!I485</f>
        <v>0</v>
      </c>
      <c r="J485" s="95"/>
      <c r="K485" s="95"/>
      <c r="L485" s="95"/>
      <c r="M485" s="95"/>
      <c r="N485" s="95"/>
      <c r="O485" s="95"/>
      <c r="P485" s="95"/>
      <c r="Q485" s="95"/>
      <c r="R485" s="95"/>
      <c r="S485" s="95"/>
      <c r="T485" s="95"/>
      <c r="U485" s="95"/>
      <c r="V485" s="95"/>
      <c r="W485" s="95"/>
      <c r="X485" s="95"/>
      <c r="Y485" s="95"/>
      <c r="Z485" s="95"/>
    </row>
    <row r="486" ht="15.75" customHeight="1" spans="1:26">
      <c r="A486" s="95">
        <f>dados_01!A486</f>
        <v>0</v>
      </c>
      <c r="B486" s="95">
        <f>dados_01!B486</f>
        <v>0</v>
      </c>
      <c r="C486" s="95" t="str">
        <f>IFERROR(__xludf.DUMMYFUNCTION("JOIN("". "", ARRAYFORMULA(IFERROR(LEFT(SPLIT(dados_01!C486, "" ""), 1))))"),"")</f>
        <v/>
      </c>
      <c r="D486" s="95">
        <f>dados_01!D486</f>
        <v>0</v>
      </c>
      <c r="E486" s="95" t="str">
        <f>CONCATENATE(LEFT(dados_01!E486,3),REPT("*",6),RIGHT(dados_01!E486,2))</f>
        <v>******</v>
      </c>
      <c r="F486" s="95">
        <f>dados_01!F486</f>
        <v>0</v>
      </c>
      <c r="G486" s="95">
        <f>dados_01!G486</f>
        <v>0</v>
      </c>
      <c r="H486" s="95">
        <f>dados_01!H486</f>
        <v>0</v>
      </c>
      <c r="I486" s="95">
        <f>dados_01!I486</f>
        <v>0</v>
      </c>
      <c r="J486" s="95"/>
      <c r="K486" s="95"/>
      <c r="L486" s="95"/>
      <c r="M486" s="95"/>
      <c r="N486" s="95"/>
      <c r="O486" s="95"/>
      <c r="P486" s="95"/>
      <c r="Q486" s="95"/>
      <c r="R486" s="95"/>
      <c r="S486" s="95"/>
      <c r="T486" s="95"/>
      <c r="U486" s="95"/>
      <c r="V486" s="95"/>
      <c r="W486" s="95"/>
      <c r="X486" s="95"/>
      <c r="Y486" s="95"/>
      <c r="Z486" s="95"/>
    </row>
    <row r="487" ht="15.75" customHeight="1" spans="1:26">
      <c r="A487" s="95">
        <f>dados_01!A487</f>
        <v>0</v>
      </c>
      <c r="B487" s="95">
        <f>dados_01!B487</f>
        <v>0</v>
      </c>
      <c r="C487" s="95" t="str">
        <f>IFERROR(__xludf.DUMMYFUNCTION("JOIN("". "", ARRAYFORMULA(IFERROR(LEFT(SPLIT(dados_01!C487, "" ""), 1))))"),"")</f>
        <v/>
      </c>
      <c r="D487" s="95">
        <f>dados_01!D487</f>
        <v>0</v>
      </c>
      <c r="E487" s="95" t="str">
        <f>CONCATENATE(LEFT(dados_01!E487,3),REPT("*",6),RIGHT(dados_01!E487,2))</f>
        <v>******</v>
      </c>
      <c r="F487" s="95">
        <f>dados_01!F487</f>
        <v>0</v>
      </c>
      <c r="G487" s="95">
        <f>dados_01!G487</f>
        <v>0</v>
      </c>
      <c r="H487" s="95">
        <f>dados_01!H487</f>
        <v>0</v>
      </c>
      <c r="I487" s="95">
        <f>dados_01!I487</f>
        <v>0</v>
      </c>
      <c r="J487" s="95"/>
      <c r="K487" s="95"/>
      <c r="L487" s="95"/>
      <c r="M487" s="95"/>
      <c r="N487" s="95"/>
      <c r="O487" s="95"/>
      <c r="P487" s="95"/>
      <c r="Q487" s="95"/>
      <c r="R487" s="95"/>
      <c r="S487" s="95"/>
      <c r="T487" s="95"/>
      <c r="U487" s="95"/>
      <c r="V487" s="95"/>
      <c r="W487" s="95"/>
      <c r="X487" s="95"/>
      <c r="Y487" s="95"/>
      <c r="Z487" s="95"/>
    </row>
    <row r="488" ht="15.75" customHeight="1" spans="1:26">
      <c r="A488" s="95">
        <f>dados_01!A488</f>
        <v>0</v>
      </c>
      <c r="B488" s="95">
        <f>dados_01!B488</f>
        <v>0</v>
      </c>
      <c r="C488" s="95" t="str">
        <f>IFERROR(__xludf.DUMMYFUNCTION("JOIN("". "", ARRAYFORMULA(IFERROR(LEFT(SPLIT(dados_01!C488, "" ""), 1))))"),"")</f>
        <v/>
      </c>
      <c r="D488" s="95">
        <f>dados_01!D488</f>
        <v>0</v>
      </c>
      <c r="E488" s="95" t="str">
        <f>CONCATENATE(LEFT(dados_01!E488,3),REPT("*",6),RIGHT(dados_01!E488,2))</f>
        <v>******</v>
      </c>
      <c r="F488" s="95">
        <f>dados_01!F488</f>
        <v>0</v>
      </c>
      <c r="G488" s="95">
        <f>dados_01!G488</f>
        <v>0</v>
      </c>
      <c r="H488" s="95">
        <f>dados_01!H488</f>
        <v>0</v>
      </c>
      <c r="I488" s="95">
        <f>dados_01!I488</f>
        <v>0</v>
      </c>
      <c r="J488" s="95"/>
      <c r="K488" s="95"/>
      <c r="L488" s="95"/>
      <c r="M488" s="95"/>
      <c r="N488" s="95"/>
      <c r="O488" s="95"/>
      <c r="P488" s="95"/>
      <c r="Q488" s="95"/>
      <c r="R488" s="95"/>
      <c r="S488" s="95"/>
      <c r="T488" s="95"/>
      <c r="U488" s="95"/>
      <c r="V488" s="95"/>
      <c r="W488" s="95"/>
      <c r="X488" s="95"/>
      <c r="Y488" s="95"/>
      <c r="Z488" s="95"/>
    </row>
    <row r="489" ht="15.75" customHeight="1" spans="1:26">
      <c r="A489" s="95">
        <f>dados_01!A489</f>
        <v>0</v>
      </c>
      <c r="B489" s="95">
        <f>dados_01!B489</f>
        <v>0</v>
      </c>
      <c r="C489" s="95" t="str">
        <f>IFERROR(__xludf.DUMMYFUNCTION("JOIN("". "", ARRAYFORMULA(IFERROR(LEFT(SPLIT(dados_01!C489, "" ""), 1))))"),"")</f>
        <v/>
      </c>
      <c r="D489" s="95">
        <f>dados_01!D489</f>
        <v>0</v>
      </c>
      <c r="E489" s="95" t="str">
        <f>CONCATENATE(LEFT(dados_01!E489,3),REPT("*",6),RIGHT(dados_01!E489,2))</f>
        <v>******</v>
      </c>
      <c r="F489" s="95">
        <f>dados_01!F489</f>
        <v>0</v>
      </c>
      <c r="G489" s="95">
        <f>dados_01!G489</f>
        <v>0</v>
      </c>
      <c r="H489" s="95">
        <f>dados_01!H489</f>
        <v>0</v>
      </c>
      <c r="I489" s="95">
        <f>dados_01!I489</f>
        <v>0</v>
      </c>
      <c r="J489" s="95"/>
      <c r="K489" s="95"/>
      <c r="L489" s="95"/>
      <c r="M489" s="95"/>
      <c r="N489" s="95"/>
      <c r="O489" s="95"/>
      <c r="P489" s="95"/>
      <c r="Q489" s="95"/>
      <c r="R489" s="95"/>
      <c r="S489" s="95"/>
      <c r="T489" s="95"/>
      <c r="U489" s="95"/>
      <c r="V489" s="95"/>
      <c r="W489" s="95"/>
      <c r="X489" s="95"/>
      <c r="Y489" s="95"/>
      <c r="Z489" s="95"/>
    </row>
    <row r="490" ht="15.75" customHeight="1" spans="1:26">
      <c r="A490" s="95">
        <f>dados_01!A490</f>
        <v>0</v>
      </c>
      <c r="B490" s="95">
        <f>dados_01!B490</f>
        <v>0</v>
      </c>
      <c r="C490" s="95" t="str">
        <f>IFERROR(__xludf.DUMMYFUNCTION("JOIN("". "", ARRAYFORMULA(IFERROR(LEFT(SPLIT(dados_01!C490, "" ""), 1))))"),"")</f>
        <v/>
      </c>
      <c r="D490" s="95">
        <f>dados_01!D490</f>
        <v>0</v>
      </c>
      <c r="E490" s="95" t="str">
        <f>CONCATENATE(LEFT(dados_01!E490,3),REPT("*",6),RIGHT(dados_01!E490,2))</f>
        <v>******</v>
      </c>
      <c r="F490" s="95">
        <f>dados_01!F490</f>
        <v>0</v>
      </c>
      <c r="G490" s="95">
        <f>dados_01!G490</f>
        <v>0</v>
      </c>
      <c r="H490" s="95">
        <f>dados_01!H490</f>
        <v>0</v>
      </c>
      <c r="I490" s="95">
        <f>dados_01!I490</f>
        <v>0</v>
      </c>
      <c r="J490" s="95"/>
      <c r="K490" s="95"/>
      <c r="L490" s="95"/>
      <c r="M490" s="95"/>
      <c r="N490" s="95"/>
      <c r="O490" s="95"/>
      <c r="P490" s="95"/>
      <c r="Q490" s="95"/>
      <c r="R490" s="95"/>
      <c r="S490" s="95"/>
      <c r="T490" s="95"/>
      <c r="U490" s="95"/>
      <c r="V490" s="95"/>
      <c r="W490" s="95"/>
      <c r="X490" s="95"/>
      <c r="Y490" s="95"/>
      <c r="Z490" s="95"/>
    </row>
    <row r="491" ht="15.75" customHeight="1" spans="1:26">
      <c r="A491" s="95">
        <f>dados_01!A491</f>
        <v>0</v>
      </c>
      <c r="B491" s="95">
        <f>dados_01!B491</f>
        <v>0</v>
      </c>
      <c r="C491" s="95" t="str">
        <f>IFERROR(__xludf.DUMMYFUNCTION("JOIN("". "", ARRAYFORMULA(IFERROR(LEFT(SPLIT(dados_01!C491, "" ""), 1))))"),"")</f>
        <v/>
      </c>
      <c r="D491" s="95">
        <f>dados_01!D491</f>
        <v>0</v>
      </c>
      <c r="E491" s="95" t="str">
        <f>CONCATENATE(LEFT(dados_01!E491,3),REPT("*",6),RIGHT(dados_01!E491,2))</f>
        <v>******</v>
      </c>
      <c r="F491" s="95">
        <f>dados_01!F491</f>
        <v>0</v>
      </c>
      <c r="G491" s="95">
        <f>dados_01!G491</f>
        <v>0</v>
      </c>
      <c r="H491" s="95">
        <f>dados_01!H491</f>
        <v>0</v>
      </c>
      <c r="I491" s="95">
        <f>dados_01!I491</f>
        <v>0</v>
      </c>
      <c r="J491" s="95"/>
      <c r="K491" s="95"/>
      <c r="L491" s="95"/>
      <c r="M491" s="95"/>
      <c r="N491" s="95"/>
      <c r="O491" s="95"/>
      <c r="P491" s="95"/>
      <c r="Q491" s="95"/>
      <c r="R491" s="95"/>
      <c r="S491" s="95"/>
      <c r="T491" s="95"/>
      <c r="U491" s="95"/>
      <c r="V491" s="95"/>
      <c r="W491" s="95"/>
      <c r="X491" s="95"/>
      <c r="Y491" s="95"/>
      <c r="Z491" s="95"/>
    </row>
    <row r="492" ht="15.75" customHeight="1" spans="1:26">
      <c r="A492" s="95">
        <f>dados_01!A492</f>
        <v>0</v>
      </c>
      <c r="B492" s="95">
        <f>dados_01!B492</f>
        <v>0</v>
      </c>
      <c r="C492" s="95" t="str">
        <f>IFERROR(__xludf.DUMMYFUNCTION("JOIN("". "", ARRAYFORMULA(IFERROR(LEFT(SPLIT(dados_01!C492, "" ""), 1))))"),"")</f>
        <v/>
      </c>
      <c r="D492" s="95">
        <f>dados_01!D492</f>
        <v>0</v>
      </c>
      <c r="E492" s="95" t="str">
        <f>CONCATENATE(LEFT(dados_01!E492,3),REPT("*",6),RIGHT(dados_01!E492,2))</f>
        <v>******</v>
      </c>
      <c r="F492" s="95">
        <f>dados_01!F492</f>
        <v>0</v>
      </c>
      <c r="G492" s="95">
        <f>dados_01!G492</f>
        <v>0</v>
      </c>
      <c r="H492" s="95">
        <f>dados_01!H492</f>
        <v>0</v>
      </c>
      <c r="I492" s="95">
        <f>dados_01!I492</f>
        <v>0</v>
      </c>
      <c r="J492" s="95"/>
      <c r="K492" s="95"/>
      <c r="L492" s="95"/>
      <c r="M492" s="95"/>
      <c r="N492" s="95"/>
      <c r="O492" s="95"/>
      <c r="P492" s="95"/>
      <c r="Q492" s="95"/>
      <c r="R492" s="95"/>
      <c r="S492" s="95"/>
      <c r="T492" s="95"/>
      <c r="U492" s="95"/>
      <c r="V492" s="95"/>
      <c r="W492" s="95"/>
      <c r="X492" s="95"/>
      <c r="Y492" s="95"/>
      <c r="Z492" s="95"/>
    </row>
    <row r="493" ht="15.75" customHeight="1" spans="1:26">
      <c r="A493" s="95">
        <f>dados_01!A493</f>
        <v>0</v>
      </c>
      <c r="B493" s="95">
        <f>dados_01!B493</f>
        <v>0</v>
      </c>
      <c r="C493" s="95" t="str">
        <f>IFERROR(__xludf.DUMMYFUNCTION("JOIN("". "", ARRAYFORMULA(IFERROR(LEFT(SPLIT(dados_01!C493, "" ""), 1))))"),"")</f>
        <v/>
      </c>
      <c r="D493" s="95">
        <f>dados_01!D493</f>
        <v>0</v>
      </c>
      <c r="E493" s="95" t="str">
        <f>CONCATENATE(LEFT(dados_01!E493,3),REPT("*",6),RIGHT(dados_01!E493,2))</f>
        <v>******</v>
      </c>
      <c r="F493" s="95">
        <f>dados_01!F493</f>
        <v>0</v>
      </c>
      <c r="G493" s="95">
        <f>dados_01!G493</f>
        <v>0</v>
      </c>
      <c r="H493" s="95">
        <f>dados_01!H493</f>
        <v>0</v>
      </c>
      <c r="I493" s="95">
        <f>dados_01!I493</f>
        <v>0</v>
      </c>
      <c r="J493" s="95"/>
      <c r="K493" s="95"/>
      <c r="L493" s="95"/>
      <c r="M493" s="95"/>
      <c r="N493" s="95"/>
      <c r="O493" s="95"/>
      <c r="P493" s="95"/>
      <c r="Q493" s="95"/>
      <c r="R493" s="95"/>
      <c r="S493" s="95"/>
      <c r="T493" s="95"/>
      <c r="U493" s="95"/>
      <c r="V493" s="95"/>
      <c r="W493" s="95"/>
      <c r="X493" s="95"/>
      <c r="Y493" s="95"/>
      <c r="Z493" s="95"/>
    </row>
    <row r="494" ht="15.75" customHeight="1" spans="1:26">
      <c r="A494" s="95">
        <f>dados_01!A494</f>
        <v>0</v>
      </c>
      <c r="B494" s="95">
        <f>dados_01!B494</f>
        <v>0</v>
      </c>
      <c r="C494" s="95" t="str">
        <f>IFERROR(__xludf.DUMMYFUNCTION("JOIN("". "", ARRAYFORMULA(IFERROR(LEFT(SPLIT(dados_01!C494, "" ""), 1))))"),"")</f>
        <v/>
      </c>
      <c r="D494" s="95">
        <f>dados_01!D494</f>
        <v>0</v>
      </c>
      <c r="E494" s="95" t="str">
        <f>CONCATENATE(LEFT(dados_01!E494,3),REPT("*",6),RIGHT(dados_01!E494,2))</f>
        <v>******</v>
      </c>
      <c r="F494" s="95">
        <f>dados_01!F494</f>
        <v>0</v>
      </c>
      <c r="G494" s="95">
        <f>dados_01!G494</f>
        <v>0</v>
      </c>
      <c r="H494" s="95">
        <f>dados_01!H494</f>
        <v>0</v>
      </c>
      <c r="I494" s="95">
        <f>dados_01!I494</f>
        <v>0</v>
      </c>
      <c r="J494" s="95"/>
      <c r="K494" s="95"/>
      <c r="L494" s="95"/>
      <c r="M494" s="95"/>
      <c r="N494" s="95"/>
      <c r="O494" s="95"/>
      <c r="P494" s="95"/>
      <c r="Q494" s="95"/>
      <c r="R494" s="95"/>
      <c r="S494" s="95"/>
      <c r="T494" s="95"/>
      <c r="U494" s="95"/>
      <c r="V494" s="95"/>
      <c r="W494" s="95"/>
      <c r="X494" s="95"/>
      <c r="Y494" s="95"/>
      <c r="Z494" s="95"/>
    </row>
    <row r="495" ht="15.75" customHeight="1" spans="1:26">
      <c r="A495" s="95">
        <f>dados_01!A495</f>
        <v>0</v>
      </c>
      <c r="B495" s="95">
        <f>dados_01!B495</f>
        <v>0</v>
      </c>
      <c r="C495" s="95" t="str">
        <f>IFERROR(__xludf.DUMMYFUNCTION("JOIN("". "", ARRAYFORMULA(IFERROR(LEFT(SPLIT(dados_01!C495, "" ""), 1))))"),"")</f>
        <v/>
      </c>
      <c r="D495" s="95">
        <f>dados_01!D495</f>
        <v>0</v>
      </c>
      <c r="E495" s="95" t="str">
        <f>CONCATENATE(LEFT(dados_01!E495,3),REPT("*",6),RIGHT(dados_01!E495,2))</f>
        <v>******</v>
      </c>
      <c r="F495" s="95">
        <f>dados_01!F495</f>
        <v>0</v>
      </c>
      <c r="G495" s="95">
        <f>dados_01!G495</f>
        <v>0</v>
      </c>
      <c r="H495" s="95">
        <f>dados_01!H495</f>
        <v>0</v>
      </c>
      <c r="I495" s="95">
        <f>dados_01!I495</f>
        <v>0</v>
      </c>
      <c r="J495" s="95"/>
      <c r="K495" s="95"/>
      <c r="L495" s="95"/>
      <c r="M495" s="95"/>
      <c r="N495" s="95"/>
      <c r="O495" s="95"/>
      <c r="P495" s="95"/>
      <c r="Q495" s="95"/>
      <c r="R495" s="95"/>
      <c r="S495" s="95"/>
      <c r="T495" s="95"/>
      <c r="U495" s="95"/>
      <c r="V495" s="95"/>
      <c r="W495" s="95"/>
      <c r="X495" s="95"/>
      <c r="Y495" s="95"/>
      <c r="Z495" s="95"/>
    </row>
    <row r="496" ht="15.75" customHeight="1" spans="1:26">
      <c r="A496" s="95">
        <f>dados_01!A496</f>
        <v>0</v>
      </c>
      <c r="B496" s="95">
        <f>dados_01!B496</f>
        <v>0</v>
      </c>
      <c r="C496" s="95" t="str">
        <f>IFERROR(__xludf.DUMMYFUNCTION("JOIN("". "", ARRAYFORMULA(IFERROR(LEFT(SPLIT(dados_01!C496, "" ""), 1))))"),"")</f>
        <v/>
      </c>
      <c r="D496" s="95">
        <f>dados_01!D496</f>
        <v>0</v>
      </c>
      <c r="E496" s="95" t="str">
        <f>CONCATENATE(LEFT(dados_01!E496,3),REPT("*",6),RIGHT(dados_01!E496,2))</f>
        <v>******</v>
      </c>
      <c r="F496" s="95">
        <f>dados_01!F496</f>
        <v>0</v>
      </c>
      <c r="G496" s="95">
        <f>dados_01!G496</f>
        <v>0</v>
      </c>
      <c r="H496" s="95">
        <f>dados_01!H496</f>
        <v>0</v>
      </c>
      <c r="I496" s="95">
        <f>dados_01!I496</f>
        <v>0</v>
      </c>
      <c r="J496" s="95"/>
      <c r="K496" s="95"/>
      <c r="L496" s="95"/>
      <c r="M496" s="95"/>
      <c r="N496" s="95"/>
      <c r="O496" s="95"/>
      <c r="P496" s="95"/>
      <c r="Q496" s="95"/>
      <c r="R496" s="95"/>
      <c r="S496" s="95"/>
      <c r="T496" s="95"/>
      <c r="U496" s="95"/>
      <c r="V496" s="95"/>
      <c r="W496" s="95"/>
      <c r="X496" s="95"/>
      <c r="Y496" s="95"/>
      <c r="Z496" s="95"/>
    </row>
    <row r="497" ht="15.75" customHeight="1" spans="1:26">
      <c r="A497" s="95">
        <f>dados_01!A497</f>
        <v>0</v>
      </c>
      <c r="B497" s="95">
        <f>dados_01!B497</f>
        <v>0</v>
      </c>
      <c r="C497" s="95" t="str">
        <f>IFERROR(__xludf.DUMMYFUNCTION("JOIN("". "", ARRAYFORMULA(IFERROR(LEFT(SPLIT(dados_01!C497, "" ""), 1))))"),"")</f>
        <v/>
      </c>
      <c r="D497" s="95">
        <f>dados_01!D497</f>
        <v>0</v>
      </c>
      <c r="E497" s="95" t="str">
        <f>CONCATENATE(LEFT(dados_01!E497,3),REPT("*",6),RIGHT(dados_01!E497,2))</f>
        <v>******</v>
      </c>
      <c r="F497" s="95">
        <f>dados_01!F497</f>
        <v>0</v>
      </c>
      <c r="G497" s="95">
        <f>dados_01!G497</f>
        <v>0</v>
      </c>
      <c r="H497" s="95">
        <f>dados_01!H497</f>
        <v>0</v>
      </c>
      <c r="I497" s="95">
        <f>dados_01!I497</f>
        <v>0</v>
      </c>
      <c r="J497" s="95"/>
      <c r="K497" s="95"/>
      <c r="L497" s="95"/>
      <c r="M497" s="95"/>
      <c r="N497" s="95"/>
      <c r="O497" s="95"/>
      <c r="P497" s="95"/>
      <c r="Q497" s="95"/>
      <c r="R497" s="95"/>
      <c r="S497" s="95"/>
      <c r="T497" s="95"/>
      <c r="U497" s="95"/>
      <c r="V497" s="95"/>
      <c r="W497" s="95"/>
      <c r="X497" s="95"/>
      <c r="Y497" s="95"/>
      <c r="Z497" s="95"/>
    </row>
    <row r="498" ht="15.75" customHeight="1" spans="1:26">
      <c r="A498" s="95">
        <f>dados_01!A498</f>
        <v>0</v>
      </c>
      <c r="B498" s="95">
        <f>dados_01!B498</f>
        <v>0</v>
      </c>
      <c r="C498" s="95" t="str">
        <f>IFERROR(__xludf.DUMMYFUNCTION("JOIN("". "", ARRAYFORMULA(IFERROR(LEFT(SPLIT(dados_01!C498, "" ""), 1))))"),"")</f>
        <v/>
      </c>
      <c r="D498" s="95">
        <f>dados_01!D498</f>
        <v>0</v>
      </c>
      <c r="E498" s="95" t="str">
        <f>CONCATENATE(LEFT(dados_01!E498,3),REPT("*",6),RIGHT(dados_01!E498,2))</f>
        <v>******</v>
      </c>
      <c r="F498" s="95">
        <f>dados_01!F498</f>
        <v>0</v>
      </c>
      <c r="G498" s="95">
        <f>dados_01!G498</f>
        <v>0</v>
      </c>
      <c r="H498" s="95">
        <f>dados_01!H498</f>
        <v>0</v>
      </c>
      <c r="I498" s="95">
        <f>dados_01!I498</f>
        <v>0</v>
      </c>
      <c r="J498" s="95"/>
      <c r="K498" s="95"/>
      <c r="L498" s="95"/>
      <c r="M498" s="95"/>
      <c r="N498" s="95"/>
      <c r="O498" s="95"/>
      <c r="P498" s="95"/>
      <c r="Q498" s="95"/>
      <c r="R498" s="95"/>
      <c r="S498" s="95"/>
      <c r="T498" s="95"/>
      <c r="U498" s="95"/>
      <c r="V498" s="95"/>
      <c r="W498" s="95"/>
      <c r="X498" s="95"/>
      <c r="Y498" s="95"/>
      <c r="Z498" s="95"/>
    </row>
    <row r="499" ht="15.75" customHeight="1" spans="1:26">
      <c r="A499" s="95">
        <f>dados_01!A499</f>
        <v>0</v>
      </c>
      <c r="B499" s="95">
        <f>dados_01!B499</f>
        <v>0</v>
      </c>
      <c r="C499" s="95" t="str">
        <f>IFERROR(__xludf.DUMMYFUNCTION("JOIN("". "", ARRAYFORMULA(IFERROR(LEFT(SPLIT(dados_01!C499, "" ""), 1))))"),"")</f>
        <v/>
      </c>
      <c r="D499" s="95">
        <f>dados_01!D499</f>
        <v>0</v>
      </c>
      <c r="E499" s="95" t="str">
        <f>CONCATENATE(LEFT(dados_01!E499,3),REPT("*",6),RIGHT(dados_01!E499,2))</f>
        <v>******</v>
      </c>
      <c r="F499" s="95">
        <f>dados_01!F499</f>
        <v>0</v>
      </c>
      <c r="G499" s="95">
        <f>dados_01!G499</f>
        <v>0</v>
      </c>
      <c r="H499" s="95">
        <f>dados_01!H499</f>
        <v>0</v>
      </c>
      <c r="I499" s="95">
        <f>dados_01!I499</f>
        <v>0</v>
      </c>
      <c r="J499" s="95"/>
      <c r="K499" s="95"/>
      <c r="L499" s="95"/>
      <c r="M499" s="95"/>
      <c r="N499" s="95"/>
      <c r="O499" s="95"/>
      <c r="P499" s="95"/>
      <c r="Q499" s="95"/>
      <c r="R499" s="95"/>
      <c r="S499" s="95"/>
      <c r="T499" s="95"/>
      <c r="U499" s="95"/>
      <c r="V499" s="95"/>
      <c r="W499" s="95"/>
      <c r="X499" s="95"/>
      <c r="Y499" s="95"/>
      <c r="Z499" s="95"/>
    </row>
    <row r="500" ht="15.75" customHeight="1" spans="1:26">
      <c r="A500" s="95">
        <f>dados_01!A500</f>
        <v>0</v>
      </c>
      <c r="B500" s="95">
        <f>dados_01!B500</f>
        <v>0</v>
      </c>
      <c r="C500" s="95" t="str">
        <f>IFERROR(__xludf.DUMMYFUNCTION("JOIN("". "", ARRAYFORMULA(IFERROR(LEFT(SPLIT(dados_01!C500, "" ""), 1))))"),"")</f>
        <v/>
      </c>
      <c r="D500" s="95">
        <f>dados_01!D500</f>
        <v>0</v>
      </c>
      <c r="E500" s="95" t="str">
        <f>CONCATENATE(LEFT(dados_01!E500,3),REPT("*",6),RIGHT(dados_01!E500,2))</f>
        <v>******</v>
      </c>
      <c r="F500" s="95">
        <f>dados_01!F500</f>
        <v>0</v>
      </c>
      <c r="G500" s="95">
        <f>dados_01!G500</f>
        <v>0</v>
      </c>
      <c r="H500" s="95">
        <f>dados_01!H500</f>
        <v>0</v>
      </c>
      <c r="I500" s="95">
        <f>dados_01!I500</f>
        <v>0</v>
      </c>
      <c r="J500" s="95"/>
      <c r="K500" s="95"/>
      <c r="L500" s="95"/>
      <c r="M500" s="95"/>
      <c r="N500" s="95"/>
      <c r="O500" s="95"/>
      <c r="P500" s="95"/>
      <c r="Q500" s="95"/>
      <c r="R500" s="95"/>
      <c r="S500" s="95"/>
      <c r="T500" s="95"/>
      <c r="U500" s="95"/>
      <c r="V500" s="95"/>
      <c r="W500" s="95"/>
      <c r="X500" s="95"/>
      <c r="Y500" s="95"/>
      <c r="Z500" s="95"/>
    </row>
    <row r="501" ht="15.75" customHeight="1" spans="1:26">
      <c r="A501" s="95">
        <f>dados_01!A501</f>
        <v>0</v>
      </c>
      <c r="B501" s="95">
        <f>dados_01!B501</f>
        <v>0</v>
      </c>
      <c r="C501" s="95" t="str">
        <f>IFERROR(__xludf.DUMMYFUNCTION("JOIN("". "", ARRAYFORMULA(IFERROR(LEFT(SPLIT(dados_01!C501, "" ""), 1))))"),"")</f>
        <v/>
      </c>
      <c r="D501" s="95">
        <f>dados_01!D501</f>
        <v>0</v>
      </c>
      <c r="E501" s="95" t="str">
        <f>CONCATENATE(LEFT(dados_01!E501,3),REPT("*",6),RIGHT(dados_01!E501,2))</f>
        <v>******</v>
      </c>
      <c r="F501" s="95">
        <f>dados_01!F501</f>
        <v>0</v>
      </c>
      <c r="G501" s="95">
        <f>dados_01!G501</f>
        <v>0</v>
      </c>
      <c r="H501" s="95">
        <f>dados_01!H501</f>
        <v>0</v>
      </c>
      <c r="I501" s="95">
        <f>dados_01!I501</f>
        <v>0</v>
      </c>
      <c r="J501" s="95"/>
      <c r="K501" s="95"/>
      <c r="L501" s="95"/>
      <c r="M501" s="95"/>
      <c r="N501" s="95"/>
      <c r="O501" s="95"/>
      <c r="P501" s="95"/>
      <c r="Q501" s="95"/>
      <c r="R501" s="95"/>
      <c r="S501" s="95"/>
      <c r="T501" s="95"/>
      <c r="U501" s="95"/>
      <c r="V501" s="95"/>
      <c r="W501" s="95"/>
      <c r="X501" s="95"/>
      <c r="Y501" s="95"/>
      <c r="Z501" s="95"/>
    </row>
    <row r="502" ht="15.75" customHeight="1" spans="1:26">
      <c r="A502" s="95">
        <f>dados_01!A502</f>
        <v>0</v>
      </c>
      <c r="B502" s="95">
        <f>dados_01!B502</f>
        <v>0</v>
      </c>
      <c r="C502" s="95" t="str">
        <f>IFERROR(__xludf.DUMMYFUNCTION("JOIN("". "", ARRAYFORMULA(IFERROR(LEFT(SPLIT(dados_01!C502, "" ""), 1))))"),"")</f>
        <v/>
      </c>
      <c r="D502" s="95">
        <f>dados_01!D502</f>
        <v>0</v>
      </c>
      <c r="E502" s="95" t="str">
        <f>CONCATENATE(LEFT(dados_01!E502,3),REPT("*",6),RIGHT(dados_01!E502,2))</f>
        <v>******</v>
      </c>
      <c r="F502" s="95">
        <f>dados_01!F502</f>
        <v>0</v>
      </c>
      <c r="G502" s="95">
        <f>dados_01!G502</f>
        <v>0</v>
      </c>
      <c r="H502" s="95">
        <f>dados_01!H502</f>
        <v>0</v>
      </c>
      <c r="I502" s="95">
        <f>dados_01!I502</f>
        <v>0</v>
      </c>
      <c r="J502" s="95"/>
      <c r="K502" s="95"/>
      <c r="L502" s="95"/>
      <c r="M502" s="95"/>
      <c r="N502" s="95"/>
      <c r="O502" s="95"/>
      <c r="P502" s="95"/>
      <c r="Q502" s="95"/>
      <c r="R502" s="95"/>
      <c r="S502" s="95"/>
      <c r="T502" s="95"/>
      <c r="U502" s="95"/>
      <c r="V502" s="95"/>
      <c r="W502" s="95"/>
      <c r="X502" s="95"/>
      <c r="Y502" s="95"/>
      <c r="Z502" s="95"/>
    </row>
    <row r="503" ht="15.75" customHeight="1" spans="1:26">
      <c r="A503" s="95">
        <f>dados_01!A503</f>
        <v>0</v>
      </c>
      <c r="B503" s="95">
        <f>dados_01!B503</f>
        <v>0</v>
      </c>
      <c r="C503" s="95" t="str">
        <f>IFERROR(__xludf.DUMMYFUNCTION("JOIN("". "", ARRAYFORMULA(IFERROR(LEFT(SPLIT(dados_01!C503, "" ""), 1))))"),"")</f>
        <v/>
      </c>
      <c r="D503" s="95">
        <f>dados_01!D503</f>
        <v>0</v>
      </c>
      <c r="E503" s="95" t="str">
        <f>CONCATENATE(LEFT(dados_01!E503,3),REPT("*",6),RIGHT(dados_01!E503,2))</f>
        <v>******</v>
      </c>
      <c r="F503" s="95">
        <f>dados_01!F503</f>
        <v>0</v>
      </c>
      <c r="G503" s="95">
        <f>dados_01!G503</f>
        <v>0</v>
      </c>
      <c r="H503" s="95">
        <f>dados_01!H503</f>
        <v>0</v>
      </c>
      <c r="I503" s="95">
        <f>dados_01!I503</f>
        <v>0</v>
      </c>
      <c r="J503" s="95"/>
      <c r="K503" s="95"/>
      <c r="L503" s="95"/>
      <c r="M503" s="95"/>
      <c r="N503" s="95"/>
      <c r="O503" s="95"/>
      <c r="P503" s="95"/>
      <c r="Q503" s="95"/>
      <c r="R503" s="95"/>
      <c r="S503" s="95"/>
      <c r="T503" s="95"/>
      <c r="U503" s="95"/>
      <c r="V503" s="95"/>
      <c r="W503" s="95"/>
      <c r="X503" s="95"/>
      <c r="Y503" s="95"/>
      <c r="Z503" s="95"/>
    </row>
    <row r="504" ht="15.75" customHeight="1" spans="1:26">
      <c r="A504" s="95">
        <f>dados_01!A504</f>
        <v>0</v>
      </c>
      <c r="B504" s="95">
        <f>dados_01!B504</f>
        <v>0</v>
      </c>
      <c r="C504" s="95" t="str">
        <f>IFERROR(__xludf.DUMMYFUNCTION("JOIN("". "", ARRAYFORMULA(IFERROR(LEFT(SPLIT(dados_01!C504, "" ""), 1))))"),"")</f>
        <v/>
      </c>
      <c r="D504" s="95">
        <f>dados_01!D504</f>
        <v>0</v>
      </c>
      <c r="E504" s="95" t="str">
        <f>CONCATENATE(LEFT(dados_01!E504,3),REPT("*",6),RIGHT(dados_01!E504,2))</f>
        <v>******</v>
      </c>
      <c r="F504" s="95">
        <f>dados_01!F504</f>
        <v>0</v>
      </c>
      <c r="G504" s="95">
        <f>dados_01!G504</f>
        <v>0</v>
      </c>
      <c r="H504" s="95">
        <f>dados_01!H504</f>
        <v>0</v>
      </c>
      <c r="I504" s="95">
        <f>dados_01!I504</f>
        <v>0</v>
      </c>
      <c r="J504" s="95"/>
      <c r="K504" s="95"/>
      <c r="L504" s="95"/>
      <c r="M504" s="95"/>
      <c r="N504" s="95"/>
      <c r="O504" s="95"/>
      <c r="P504" s="95"/>
      <c r="Q504" s="95"/>
      <c r="R504" s="95"/>
      <c r="S504" s="95"/>
      <c r="T504" s="95"/>
      <c r="U504" s="95"/>
      <c r="V504" s="95"/>
      <c r="W504" s="95"/>
      <c r="X504" s="95"/>
      <c r="Y504" s="95"/>
      <c r="Z504" s="95"/>
    </row>
    <row r="505" ht="15.75" customHeight="1" spans="1:26">
      <c r="A505" s="95">
        <f>dados_01!A505</f>
        <v>0</v>
      </c>
      <c r="B505" s="95">
        <f>dados_01!B505</f>
        <v>0</v>
      </c>
      <c r="C505" s="95" t="str">
        <f>IFERROR(__xludf.DUMMYFUNCTION("JOIN("". "", ARRAYFORMULA(IFERROR(LEFT(SPLIT(dados_01!C505, "" ""), 1))))"),"")</f>
        <v/>
      </c>
      <c r="D505" s="95">
        <f>dados_01!D505</f>
        <v>0</v>
      </c>
      <c r="E505" s="95" t="str">
        <f>CONCATENATE(LEFT(dados_01!E505,3),REPT("*",6),RIGHT(dados_01!E505,2))</f>
        <v>******</v>
      </c>
      <c r="F505" s="95">
        <f>dados_01!F505</f>
        <v>0</v>
      </c>
      <c r="G505" s="95">
        <f>dados_01!G505</f>
        <v>0</v>
      </c>
      <c r="H505" s="95">
        <f>dados_01!H505</f>
        <v>0</v>
      </c>
      <c r="I505" s="95">
        <f>dados_01!I505</f>
        <v>0</v>
      </c>
      <c r="J505" s="95"/>
      <c r="K505" s="95"/>
      <c r="L505" s="95"/>
      <c r="M505" s="95"/>
      <c r="N505" s="95"/>
      <c r="O505" s="95"/>
      <c r="P505" s="95"/>
      <c r="Q505" s="95"/>
      <c r="R505" s="95"/>
      <c r="S505" s="95"/>
      <c r="T505" s="95"/>
      <c r="U505" s="95"/>
      <c r="V505" s="95"/>
      <c r="W505" s="95"/>
      <c r="X505" s="95"/>
      <c r="Y505" s="95"/>
      <c r="Z505" s="95"/>
    </row>
    <row r="506" ht="15.75" customHeight="1" spans="1:26">
      <c r="A506" s="95">
        <f>dados_01!A506</f>
        <v>0</v>
      </c>
      <c r="B506" s="95">
        <f>dados_01!B506</f>
        <v>0</v>
      </c>
      <c r="C506" s="95" t="str">
        <f>IFERROR(__xludf.DUMMYFUNCTION("JOIN("". "", ARRAYFORMULA(IFERROR(LEFT(SPLIT(dados_01!C506, "" ""), 1))))"),"")</f>
        <v/>
      </c>
      <c r="D506" s="95">
        <f>dados_01!D506</f>
        <v>0</v>
      </c>
      <c r="E506" s="95" t="str">
        <f>CONCATENATE(LEFT(dados_01!E506,3),REPT("*",6),RIGHT(dados_01!E506,2))</f>
        <v>******</v>
      </c>
      <c r="F506" s="95">
        <f>dados_01!F506</f>
        <v>0</v>
      </c>
      <c r="G506" s="95">
        <f>dados_01!G506</f>
        <v>0</v>
      </c>
      <c r="H506" s="95">
        <f>dados_01!H506</f>
        <v>0</v>
      </c>
      <c r="I506" s="95">
        <f>dados_01!I506</f>
        <v>0</v>
      </c>
      <c r="J506" s="95"/>
      <c r="K506" s="95"/>
      <c r="L506" s="95"/>
      <c r="M506" s="95"/>
      <c r="N506" s="95"/>
      <c r="O506" s="95"/>
      <c r="P506" s="95"/>
      <c r="Q506" s="95"/>
      <c r="R506" s="95"/>
      <c r="S506" s="95"/>
      <c r="T506" s="95"/>
      <c r="U506" s="95"/>
      <c r="V506" s="95"/>
      <c r="W506" s="95"/>
      <c r="X506" s="95"/>
      <c r="Y506" s="95"/>
      <c r="Z506" s="95"/>
    </row>
    <row r="507" ht="15.75" customHeight="1" spans="1:26">
      <c r="A507" s="95">
        <f>dados_01!A507</f>
        <v>0</v>
      </c>
      <c r="B507" s="95">
        <f>dados_01!B507</f>
        <v>0</v>
      </c>
      <c r="C507" s="95" t="str">
        <f>IFERROR(__xludf.DUMMYFUNCTION("JOIN("". "", ARRAYFORMULA(IFERROR(LEFT(SPLIT(dados_01!C507, "" ""), 1))))"),"")</f>
        <v/>
      </c>
      <c r="D507" s="95">
        <f>dados_01!D507</f>
        <v>0</v>
      </c>
      <c r="E507" s="95" t="str">
        <f>CONCATENATE(LEFT(dados_01!E507,3),REPT("*",6),RIGHT(dados_01!E507,2))</f>
        <v>******</v>
      </c>
      <c r="F507" s="95">
        <f>dados_01!F507</f>
        <v>0</v>
      </c>
      <c r="G507" s="95">
        <f>dados_01!G507</f>
        <v>0</v>
      </c>
      <c r="H507" s="95">
        <f>dados_01!H507</f>
        <v>0</v>
      </c>
      <c r="I507" s="95">
        <f>dados_01!I507</f>
        <v>0</v>
      </c>
      <c r="J507" s="95"/>
      <c r="K507" s="95"/>
      <c r="L507" s="95"/>
      <c r="M507" s="95"/>
      <c r="N507" s="95"/>
      <c r="O507" s="95"/>
      <c r="P507" s="95"/>
      <c r="Q507" s="95"/>
      <c r="R507" s="95"/>
      <c r="S507" s="95"/>
      <c r="T507" s="95"/>
      <c r="U507" s="95"/>
      <c r="V507" s="95"/>
      <c r="W507" s="95"/>
      <c r="X507" s="95"/>
      <c r="Y507" s="95"/>
      <c r="Z507" s="95"/>
    </row>
    <row r="508" ht="15.75" customHeight="1" spans="1:26">
      <c r="A508" s="95">
        <f>dados_01!A508</f>
        <v>0</v>
      </c>
      <c r="B508" s="95">
        <f>dados_01!B508</f>
        <v>0</v>
      </c>
      <c r="C508" s="95" t="str">
        <f>IFERROR(__xludf.DUMMYFUNCTION("JOIN("". "", ARRAYFORMULA(IFERROR(LEFT(SPLIT(dados_01!C508, "" ""), 1))))"),"")</f>
        <v/>
      </c>
      <c r="D508" s="95">
        <f>dados_01!D508</f>
        <v>0</v>
      </c>
      <c r="E508" s="95" t="str">
        <f>CONCATENATE(LEFT(dados_01!E508,3),REPT("*",6),RIGHT(dados_01!E508,2))</f>
        <v>******</v>
      </c>
      <c r="F508" s="95">
        <f>dados_01!F508</f>
        <v>0</v>
      </c>
      <c r="G508" s="95">
        <f>dados_01!G508</f>
        <v>0</v>
      </c>
      <c r="H508" s="95">
        <f>dados_01!H508</f>
        <v>0</v>
      </c>
      <c r="I508" s="95">
        <f>dados_01!I508</f>
        <v>0</v>
      </c>
      <c r="J508" s="95"/>
      <c r="K508" s="95"/>
      <c r="L508" s="95"/>
      <c r="M508" s="95"/>
      <c r="N508" s="95"/>
      <c r="O508" s="95"/>
      <c r="P508" s="95"/>
      <c r="Q508" s="95"/>
      <c r="R508" s="95"/>
      <c r="S508" s="95"/>
      <c r="T508" s="95"/>
      <c r="U508" s="95"/>
      <c r="V508" s="95"/>
      <c r="W508" s="95"/>
      <c r="X508" s="95"/>
      <c r="Y508" s="95"/>
      <c r="Z508" s="95"/>
    </row>
    <row r="509" ht="15.75" customHeight="1" spans="1:26">
      <c r="A509" s="95">
        <f>dados_01!A509</f>
        <v>0</v>
      </c>
      <c r="B509" s="95">
        <f>dados_01!B509</f>
        <v>0</v>
      </c>
      <c r="C509" s="95" t="str">
        <f>IFERROR(__xludf.DUMMYFUNCTION("JOIN("". "", ARRAYFORMULA(IFERROR(LEFT(SPLIT(dados_01!C509, "" ""), 1))))"),"")</f>
        <v/>
      </c>
      <c r="D509" s="95">
        <f>dados_01!D509</f>
        <v>0</v>
      </c>
      <c r="E509" s="95" t="str">
        <f>CONCATENATE(LEFT(dados_01!E509,3),REPT("*",6),RIGHT(dados_01!E509,2))</f>
        <v>******</v>
      </c>
      <c r="F509" s="95">
        <f>dados_01!F509</f>
        <v>0</v>
      </c>
      <c r="G509" s="95">
        <f>dados_01!G509</f>
        <v>0</v>
      </c>
      <c r="H509" s="95">
        <f>dados_01!H509</f>
        <v>0</v>
      </c>
      <c r="I509" s="95">
        <f>dados_01!I509</f>
        <v>0</v>
      </c>
      <c r="J509" s="95"/>
      <c r="K509" s="95"/>
      <c r="L509" s="95"/>
      <c r="M509" s="95"/>
      <c r="N509" s="95"/>
      <c r="O509" s="95"/>
      <c r="P509" s="95"/>
      <c r="Q509" s="95"/>
      <c r="R509" s="95"/>
      <c r="S509" s="95"/>
      <c r="T509" s="95"/>
      <c r="U509" s="95"/>
      <c r="V509" s="95"/>
      <c r="W509" s="95"/>
      <c r="X509" s="95"/>
      <c r="Y509" s="95"/>
      <c r="Z509" s="95"/>
    </row>
    <row r="510" ht="15.75" customHeight="1" spans="1:26">
      <c r="A510" s="95">
        <f>dados_01!A510</f>
        <v>0</v>
      </c>
      <c r="B510" s="95">
        <f>dados_01!B510</f>
        <v>0</v>
      </c>
      <c r="C510" s="95" t="str">
        <f>IFERROR(__xludf.DUMMYFUNCTION("JOIN("". "", ARRAYFORMULA(IFERROR(LEFT(SPLIT(dados_01!C510, "" ""), 1))))"),"")</f>
        <v/>
      </c>
      <c r="D510" s="95">
        <f>dados_01!D510</f>
        <v>0</v>
      </c>
      <c r="E510" s="95" t="str">
        <f>CONCATENATE(LEFT(dados_01!E510,3),REPT("*",6),RIGHT(dados_01!E510,2))</f>
        <v>******</v>
      </c>
      <c r="F510" s="95">
        <f>dados_01!F510</f>
        <v>0</v>
      </c>
      <c r="G510" s="95">
        <f>dados_01!G510</f>
        <v>0</v>
      </c>
      <c r="H510" s="95">
        <f>dados_01!H510</f>
        <v>0</v>
      </c>
      <c r="I510" s="95">
        <f>dados_01!I510</f>
        <v>0</v>
      </c>
      <c r="J510" s="95"/>
      <c r="K510" s="95"/>
      <c r="L510" s="95"/>
      <c r="M510" s="95"/>
      <c r="N510" s="95"/>
      <c r="O510" s="95"/>
      <c r="P510" s="95"/>
      <c r="Q510" s="95"/>
      <c r="R510" s="95"/>
      <c r="S510" s="95"/>
      <c r="T510" s="95"/>
      <c r="U510" s="95"/>
      <c r="V510" s="95"/>
      <c r="W510" s="95"/>
      <c r="X510" s="95"/>
      <c r="Y510" s="95"/>
      <c r="Z510" s="95"/>
    </row>
    <row r="511" ht="15.75" customHeight="1" spans="1:26">
      <c r="A511" s="95">
        <f>dados_01!A511</f>
        <v>0</v>
      </c>
      <c r="B511" s="95">
        <f>dados_01!B511</f>
        <v>0</v>
      </c>
      <c r="C511" s="95" t="str">
        <f>IFERROR(__xludf.DUMMYFUNCTION("JOIN("". "", ARRAYFORMULA(IFERROR(LEFT(SPLIT(dados_01!C511, "" ""), 1))))"),"")</f>
        <v/>
      </c>
      <c r="D511" s="95">
        <f>dados_01!D511</f>
        <v>0</v>
      </c>
      <c r="E511" s="95" t="str">
        <f>CONCATENATE(LEFT(dados_01!E511,3),REPT("*",6),RIGHT(dados_01!E511,2))</f>
        <v>******</v>
      </c>
      <c r="F511" s="95">
        <f>dados_01!F511</f>
        <v>0</v>
      </c>
      <c r="G511" s="95">
        <f>dados_01!G511</f>
        <v>0</v>
      </c>
      <c r="H511" s="95">
        <f>dados_01!H511</f>
        <v>0</v>
      </c>
      <c r="I511" s="95">
        <f>dados_01!I511</f>
        <v>0</v>
      </c>
      <c r="J511" s="95"/>
      <c r="K511" s="95"/>
      <c r="L511" s="95"/>
      <c r="M511" s="95"/>
      <c r="N511" s="95"/>
      <c r="O511" s="95"/>
      <c r="P511" s="95"/>
      <c r="Q511" s="95"/>
      <c r="R511" s="95"/>
      <c r="S511" s="95"/>
      <c r="T511" s="95"/>
      <c r="U511" s="95"/>
      <c r="V511" s="95"/>
      <c r="W511" s="95"/>
      <c r="X511" s="95"/>
      <c r="Y511" s="95"/>
      <c r="Z511" s="95"/>
    </row>
    <row r="512" ht="15.75" customHeight="1" spans="1:26">
      <c r="A512" s="95">
        <f>dados_01!A512</f>
        <v>0</v>
      </c>
      <c r="B512" s="95">
        <f>dados_01!B512</f>
        <v>0</v>
      </c>
      <c r="C512" s="95" t="str">
        <f>IFERROR(__xludf.DUMMYFUNCTION("JOIN("". "", ARRAYFORMULA(IFERROR(LEFT(SPLIT(dados_01!C512, "" ""), 1))))"),"")</f>
        <v/>
      </c>
      <c r="D512" s="95">
        <f>dados_01!D512</f>
        <v>0</v>
      </c>
      <c r="E512" s="95" t="str">
        <f>CONCATENATE(LEFT(dados_01!E512,3),REPT("*",6),RIGHT(dados_01!E512,2))</f>
        <v>******</v>
      </c>
      <c r="F512" s="95">
        <f>dados_01!F512</f>
        <v>0</v>
      </c>
      <c r="G512" s="95">
        <f>dados_01!G512</f>
        <v>0</v>
      </c>
      <c r="H512" s="95">
        <f>dados_01!H512</f>
        <v>0</v>
      </c>
      <c r="I512" s="95">
        <f>dados_01!I512</f>
        <v>0</v>
      </c>
      <c r="J512" s="95"/>
      <c r="K512" s="95"/>
      <c r="L512" s="95"/>
      <c r="M512" s="95"/>
      <c r="N512" s="95"/>
      <c r="O512" s="95"/>
      <c r="P512" s="95"/>
      <c r="Q512" s="95"/>
      <c r="R512" s="95"/>
      <c r="S512" s="95"/>
      <c r="T512" s="95"/>
      <c r="U512" s="95"/>
      <c r="V512" s="95"/>
      <c r="W512" s="95"/>
      <c r="X512" s="95"/>
      <c r="Y512" s="95"/>
      <c r="Z512" s="95"/>
    </row>
    <row r="513" ht="15.75" customHeight="1" spans="1:26">
      <c r="A513" s="95">
        <f>dados_01!A513</f>
        <v>0</v>
      </c>
      <c r="B513" s="95">
        <f>dados_01!B513</f>
        <v>0</v>
      </c>
      <c r="C513" s="95" t="str">
        <f>IFERROR(__xludf.DUMMYFUNCTION("JOIN("". "", ARRAYFORMULA(IFERROR(LEFT(SPLIT(dados_01!C513, "" ""), 1))))"),"")</f>
        <v/>
      </c>
      <c r="D513" s="95">
        <f>dados_01!D513</f>
        <v>0</v>
      </c>
      <c r="E513" s="95" t="str">
        <f>CONCATENATE(LEFT(dados_01!E513,3),REPT("*",6),RIGHT(dados_01!E513,2))</f>
        <v>******</v>
      </c>
      <c r="F513" s="95">
        <f>dados_01!F513</f>
        <v>0</v>
      </c>
      <c r="G513" s="95">
        <f>dados_01!G513</f>
        <v>0</v>
      </c>
      <c r="H513" s="95">
        <f>dados_01!H513</f>
        <v>0</v>
      </c>
      <c r="I513" s="95">
        <f>dados_01!I513</f>
        <v>0</v>
      </c>
      <c r="J513" s="95"/>
      <c r="K513" s="95"/>
      <c r="L513" s="95"/>
      <c r="M513" s="95"/>
      <c r="N513" s="95"/>
      <c r="O513" s="95"/>
      <c r="P513" s="95"/>
      <c r="Q513" s="95"/>
      <c r="R513" s="95"/>
      <c r="S513" s="95"/>
      <c r="T513" s="95"/>
      <c r="U513" s="95"/>
      <c r="V513" s="95"/>
      <c r="W513" s="95"/>
      <c r="X513" s="95"/>
      <c r="Y513" s="95"/>
      <c r="Z513" s="95"/>
    </row>
    <row r="514" ht="15.75" customHeight="1" spans="1:26">
      <c r="A514" s="95">
        <f>dados_01!A514</f>
        <v>0</v>
      </c>
      <c r="B514" s="95">
        <f>dados_01!B514</f>
        <v>0</v>
      </c>
      <c r="C514" s="95" t="str">
        <f>IFERROR(__xludf.DUMMYFUNCTION("JOIN("". "", ARRAYFORMULA(IFERROR(LEFT(SPLIT(dados_01!C514, "" ""), 1))))"),"")</f>
        <v/>
      </c>
      <c r="D514" s="95">
        <f>dados_01!D514</f>
        <v>0</v>
      </c>
      <c r="E514" s="95" t="str">
        <f>CONCATENATE(LEFT(dados_01!E514,3),REPT("*",6),RIGHT(dados_01!E514,2))</f>
        <v>******</v>
      </c>
      <c r="F514" s="95">
        <f>dados_01!F514</f>
        <v>0</v>
      </c>
      <c r="G514" s="95">
        <f>dados_01!G514</f>
        <v>0</v>
      </c>
      <c r="H514" s="95">
        <f>dados_01!H514</f>
        <v>0</v>
      </c>
      <c r="I514" s="95">
        <f>dados_01!I514</f>
        <v>0</v>
      </c>
      <c r="J514" s="95"/>
      <c r="K514" s="95"/>
      <c r="L514" s="95"/>
      <c r="M514" s="95"/>
      <c r="N514" s="95"/>
      <c r="O514" s="95"/>
      <c r="P514" s="95"/>
      <c r="Q514" s="95"/>
      <c r="R514" s="95"/>
      <c r="S514" s="95"/>
      <c r="T514" s="95"/>
      <c r="U514" s="95"/>
      <c r="V514" s="95"/>
      <c r="W514" s="95"/>
      <c r="X514" s="95"/>
      <c r="Y514" s="95"/>
      <c r="Z514" s="95"/>
    </row>
    <row r="515" ht="15.75" customHeight="1" spans="1:26">
      <c r="A515" s="95">
        <f>dados_01!A515</f>
        <v>0</v>
      </c>
      <c r="B515" s="95">
        <f>dados_01!B515</f>
        <v>0</v>
      </c>
      <c r="C515" s="95" t="str">
        <f>IFERROR(__xludf.DUMMYFUNCTION("JOIN("". "", ARRAYFORMULA(IFERROR(LEFT(SPLIT(dados_01!C515, "" ""), 1))))"),"")</f>
        <v/>
      </c>
      <c r="D515" s="95">
        <f>dados_01!D515</f>
        <v>0</v>
      </c>
      <c r="E515" s="95" t="str">
        <f>CONCATENATE(LEFT(dados_01!E515,3),REPT("*",6),RIGHT(dados_01!E515,2))</f>
        <v>******</v>
      </c>
      <c r="F515" s="95">
        <f>dados_01!F515</f>
        <v>0</v>
      </c>
      <c r="G515" s="95">
        <f>dados_01!G515</f>
        <v>0</v>
      </c>
      <c r="H515" s="95">
        <f>dados_01!H515</f>
        <v>0</v>
      </c>
      <c r="I515" s="95">
        <f>dados_01!I515</f>
        <v>0</v>
      </c>
      <c r="J515" s="95"/>
      <c r="K515" s="95"/>
      <c r="L515" s="95"/>
      <c r="M515" s="95"/>
      <c r="N515" s="95"/>
      <c r="O515" s="95"/>
      <c r="P515" s="95"/>
      <c r="Q515" s="95"/>
      <c r="R515" s="95"/>
      <c r="S515" s="95"/>
      <c r="T515" s="95"/>
      <c r="U515" s="95"/>
      <c r="V515" s="95"/>
      <c r="W515" s="95"/>
      <c r="X515" s="95"/>
      <c r="Y515" s="95"/>
      <c r="Z515" s="95"/>
    </row>
    <row r="516" ht="15.75" customHeight="1" spans="1:26">
      <c r="A516" s="95">
        <f>dados_01!A516</f>
        <v>0</v>
      </c>
      <c r="B516" s="95">
        <f>dados_01!B516</f>
        <v>0</v>
      </c>
      <c r="C516" s="95" t="str">
        <f>IFERROR(__xludf.DUMMYFUNCTION("JOIN("". "", ARRAYFORMULA(IFERROR(LEFT(SPLIT(dados_01!C516, "" ""), 1))))"),"")</f>
        <v/>
      </c>
      <c r="D516" s="95">
        <f>dados_01!D516</f>
        <v>0</v>
      </c>
      <c r="E516" s="95" t="str">
        <f>CONCATENATE(LEFT(dados_01!E516,3),REPT("*",6),RIGHT(dados_01!E516,2))</f>
        <v>******</v>
      </c>
      <c r="F516" s="95">
        <f>dados_01!F516</f>
        <v>0</v>
      </c>
      <c r="G516" s="95">
        <f>dados_01!G516</f>
        <v>0</v>
      </c>
      <c r="H516" s="95">
        <f>dados_01!H516</f>
        <v>0</v>
      </c>
      <c r="I516" s="95">
        <f>dados_01!I516</f>
        <v>0</v>
      </c>
      <c r="J516" s="95"/>
      <c r="K516" s="95"/>
      <c r="L516" s="95"/>
      <c r="M516" s="95"/>
      <c r="N516" s="95"/>
      <c r="O516" s="95"/>
      <c r="P516" s="95"/>
      <c r="Q516" s="95"/>
      <c r="R516" s="95"/>
      <c r="S516" s="95"/>
      <c r="T516" s="95"/>
      <c r="U516" s="95"/>
      <c r="V516" s="95"/>
      <c r="W516" s="95"/>
      <c r="X516" s="95"/>
      <c r="Y516" s="95"/>
      <c r="Z516" s="95"/>
    </row>
    <row r="517" ht="15.75" customHeight="1" spans="1:26">
      <c r="A517" s="95">
        <f>dados_01!A517</f>
        <v>0</v>
      </c>
      <c r="B517" s="95">
        <f>dados_01!B517</f>
        <v>0</v>
      </c>
      <c r="C517" s="95" t="str">
        <f>IFERROR(__xludf.DUMMYFUNCTION("JOIN("". "", ARRAYFORMULA(IFERROR(LEFT(SPLIT(dados_01!C517, "" ""), 1))))"),"")</f>
        <v/>
      </c>
      <c r="D517" s="95">
        <f>dados_01!D517</f>
        <v>0</v>
      </c>
      <c r="E517" s="95" t="str">
        <f>CONCATENATE(LEFT(dados_01!E517,3),REPT("*",6),RIGHT(dados_01!E517,2))</f>
        <v>******</v>
      </c>
      <c r="F517" s="95">
        <f>dados_01!F517</f>
        <v>0</v>
      </c>
      <c r="G517" s="95">
        <f>dados_01!G517</f>
        <v>0</v>
      </c>
      <c r="H517" s="95">
        <f>dados_01!H517</f>
        <v>0</v>
      </c>
      <c r="I517" s="95">
        <f>dados_01!I517</f>
        <v>0</v>
      </c>
      <c r="J517" s="95"/>
      <c r="K517" s="95"/>
      <c r="L517" s="95"/>
      <c r="M517" s="95"/>
      <c r="N517" s="95"/>
      <c r="O517" s="95"/>
      <c r="P517" s="95"/>
      <c r="Q517" s="95"/>
      <c r="R517" s="95"/>
      <c r="S517" s="95"/>
      <c r="T517" s="95"/>
      <c r="U517" s="95"/>
      <c r="V517" s="95"/>
      <c r="W517" s="95"/>
      <c r="X517" s="95"/>
      <c r="Y517" s="95"/>
      <c r="Z517" s="95"/>
    </row>
    <row r="518" ht="15.75" customHeight="1" spans="1:26">
      <c r="A518" s="95">
        <f>dados_01!A518</f>
        <v>0</v>
      </c>
      <c r="B518" s="95">
        <f>dados_01!B518</f>
        <v>0</v>
      </c>
      <c r="C518" s="95" t="str">
        <f>IFERROR(__xludf.DUMMYFUNCTION("JOIN("". "", ARRAYFORMULA(IFERROR(LEFT(SPLIT(dados_01!C518, "" ""), 1))))"),"")</f>
        <v/>
      </c>
      <c r="D518" s="95">
        <f>dados_01!D518</f>
        <v>0</v>
      </c>
      <c r="E518" s="95" t="str">
        <f>CONCATENATE(LEFT(dados_01!E518,3),REPT("*",6),RIGHT(dados_01!E518,2))</f>
        <v>******</v>
      </c>
      <c r="F518" s="95">
        <f>dados_01!F518</f>
        <v>0</v>
      </c>
      <c r="G518" s="95">
        <f>dados_01!G518</f>
        <v>0</v>
      </c>
      <c r="H518" s="95">
        <f>dados_01!H518</f>
        <v>0</v>
      </c>
      <c r="I518" s="95">
        <f>dados_01!I518</f>
        <v>0</v>
      </c>
      <c r="J518" s="95"/>
      <c r="K518" s="95"/>
      <c r="L518" s="95"/>
      <c r="M518" s="95"/>
      <c r="N518" s="95"/>
      <c r="O518" s="95"/>
      <c r="P518" s="95"/>
      <c r="Q518" s="95"/>
      <c r="R518" s="95"/>
      <c r="S518" s="95"/>
      <c r="T518" s="95"/>
      <c r="U518" s="95"/>
      <c r="V518" s="95"/>
      <c r="W518" s="95"/>
      <c r="X518" s="95"/>
      <c r="Y518" s="95"/>
      <c r="Z518" s="95"/>
    </row>
    <row r="519" ht="15.75" customHeight="1" spans="1:26">
      <c r="A519" s="95">
        <f>dados_01!A519</f>
        <v>0</v>
      </c>
      <c r="B519" s="95">
        <f>dados_01!B519</f>
        <v>0</v>
      </c>
      <c r="C519" s="95" t="str">
        <f>IFERROR(__xludf.DUMMYFUNCTION("JOIN("". "", ARRAYFORMULA(IFERROR(LEFT(SPLIT(dados_01!C519, "" ""), 1))))"),"")</f>
        <v/>
      </c>
      <c r="D519" s="95">
        <f>dados_01!D519</f>
        <v>0</v>
      </c>
      <c r="E519" s="95" t="str">
        <f>CONCATENATE(LEFT(dados_01!E519,3),REPT("*",6),RIGHT(dados_01!E519,2))</f>
        <v>******</v>
      </c>
      <c r="F519" s="95">
        <f>dados_01!F519</f>
        <v>0</v>
      </c>
      <c r="G519" s="95">
        <f>dados_01!G519</f>
        <v>0</v>
      </c>
      <c r="H519" s="95">
        <f>dados_01!H519</f>
        <v>0</v>
      </c>
      <c r="I519" s="95">
        <f>dados_01!I519</f>
        <v>0</v>
      </c>
      <c r="J519" s="95"/>
      <c r="K519" s="95"/>
      <c r="L519" s="95"/>
      <c r="M519" s="95"/>
      <c r="N519" s="95"/>
      <c r="O519" s="95"/>
      <c r="P519" s="95"/>
      <c r="Q519" s="95"/>
      <c r="R519" s="95"/>
      <c r="S519" s="95"/>
      <c r="T519" s="95"/>
      <c r="U519" s="95"/>
      <c r="V519" s="95"/>
      <c r="W519" s="95"/>
      <c r="X519" s="95"/>
      <c r="Y519" s="95"/>
      <c r="Z519" s="95"/>
    </row>
    <row r="520" ht="15.75" customHeight="1" spans="1:26">
      <c r="A520" s="95">
        <f>dados_01!A520</f>
        <v>0</v>
      </c>
      <c r="B520" s="95">
        <f>dados_01!B520</f>
        <v>0</v>
      </c>
      <c r="C520" s="95" t="str">
        <f>IFERROR(__xludf.DUMMYFUNCTION("JOIN("". "", ARRAYFORMULA(IFERROR(LEFT(SPLIT(dados_01!C520, "" ""), 1))))"),"")</f>
        <v/>
      </c>
      <c r="D520" s="95">
        <f>dados_01!D520</f>
        <v>0</v>
      </c>
      <c r="E520" s="95" t="str">
        <f>CONCATENATE(LEFT(dados_01!E520,3),REPT("*",6),RIGHT(dados_01!E520,2))</f>
        <v>******</v>
      </c>
      <c r="F520" s="95">
        <f>dados_01!F520</f>
        <v>0</v>
      </c>
      <c r="G520" s="95">
        <f>dados_01!G520</f>
        <v>0</v>
      </c>
      <c r="H520" s="95">
        <f>dados_01!H520</f>
        <v>0</v>
      </c>
      <c r="I520" s="95">
        <f>dados_01!I520</f>
        <v>0</v>
      </c>
      <c r="J520" s="95"/>
      <c r="K520" s="95"/>
      <c r="L520" s="95"/>
      <c r="M520" s="95"/>
      <c r="N520" s="95"/>
      <c r="O520" s="95"/>
      <c r="P520" s="95"/>
      <c r="Q520" s="95"/>
      <c r="R520" s="95"/>
      <c r="S520" s="95"/>
      <c r="T520" s="95"/>
      <c r="U520" s="95"/>
      <c r="V520" s="95"/>
      <c r="W520" s="95"/>
      <c r="X520" s="95"/>
      <c r="Y520" s="95"/>
      <c r="Z520" s="95"/>
    </row>
    <row r="521" ht="15.75" customHeight="1" spans="1:26">
      <c r="A521" s="95">
        <f>dados_01!A521</f>
        <v>0</v>
      </c>
      <c r="B521" s="95">
        <f>dados_01!B521</f>
        <v>0</v>
      </c>
      <c r="C521" s="95" t="str">
        <f>IFERROR(__xludf.DUMMYFUNCTION("JOIN("". "", ARRAYFORMULA(IFERROR(LEFT(SPLIT(dados_01!C521, "" ""), 1))))"),"")</f>
        <v/>
      </c>
      <c r="D521" s="95">
        <f>dados_01!D521</f>
        <v>0</v>
      </c>
      <c r="E521" s="95" t="str">
        <f>CONCATENATE(LEFT(dados_01!E521,3),REPT("*",6),RIGHT(dados_01!E521,2))</f>
        <v>******</v>
      </c>
      <c r="F521" s="95">
        <f>dados_01!F521</f>
        <v>0</v>
      </c>
      <c r="G521" s="95">
        <f>dados_01!G521</f>
        <v>0</v>
      </c>
      <c r="H521" s="95">
        <f>dados_01!H521</f>
        <v>0</v>
      </c>
      <c r="I521" s="95">
        <f>dados_01!I521</f>
        <v>0</v>
      </c>
      <c r="J521" s="95"/>
      <c r="K521" s="95"/>
      <c r="L521" s="95"/>
      <c r="M521" s="95"/>
      <c r="N521" s="95"/>
      <c r="O521" s="95"/>
      <c r="P521" s="95"/>
      <c r="Q521" s="95"/>
      <c r="R521" s="95"/>
      <c r="S521" s="95"/>
      <c r="T521" s="95"/>
      <c r="U521" s="95"/>
      <c r="V521" s="95"/>
      <c r="W521" s="95"/>
      <c r="X521" s="95"/>
      <c r="Y521" s="95"/>
      <c r="Z521" s="95"/>
    </row>
    <row r="522" ht="15.75" customHeight="1" spans="1:26">
      <c r="A522" s="95">
        <f>dados_01!A522</f>
        <v>0</v>
      </c>
      <c r="B522" s="95">
        <f>dados_01!B522</f>
        <v>0</v>
      </c>
      <c r="C522" s="95" t="str">
        <f>IFERROR(__xludf.DUMMYFUNCTION("JOIN("". "", ARRAYFORMULA(IFERROR(LEFT(SPLIT(dados_01!C522, "" ""), 1))))"),"")</f>
        <v/>
      </c>
      <c r="D522" s="95">
        <f>dados_01!D522</f>
        <v>0</v>
      </c>
      <c r="E522" s="95" t="str">
        <f>CONCATENATE(LEFT(dados_01!E522,3),REPT("*",6),RIGHT(dados_01!E522,2))</f>
        <v>******</v>
      </c>
      <c r="F522" s="95">
        <f>dados_01!F522</f>
        <v>0</v>
      </c>
      <c r="G522" s="95">
        <f>dados_01!G522</f>
        <v>0</v>
      </c>
      <c r="H522" s="95">
        <f>dados_01!H522</f>
        <v>0</v>
      </c>
      <c r="I522" s="95">
        <f>dados_01!I522</f>
        <v>0</v>
      </c>
      <c r="J522" s="95"/>
      <c r="K522" s="95"/>
      <c r="L522" s="95"/>
      <c r="M522" s="95"/>
      <c r="N522" s="95"/>
      <c r="O522" s="95"/>
      <c r="P522" s="95"/>
      <c r="Q522" s="95"/>
      <c r="R522" s="95"/>
      <c r="S522" s="95"/>
      <c r="T522" s="95"/>
      <c r="U522" s="95"/>
      <c r="V522" s="95"/>
      <c r="W522" s="95"/>
      <c r="X522" s="95"/>
      <c r="Y522" s="95"/>
      <c r="Z522" s="95"/>
    </row>
    <row r="523" ht="15.75" customHeight="1" spans="1:26">
      <c r="A523" s="95">
        <f>dados_01!A523</f>
        <v>0</v>
      </c>
      <c r="B523" s="95">
        <f>dados_01!B523</f>
        <v>0</v>
      </c>
      <c r="C523" s="95" t="str">
        <f>IFERROR(__xludf.DUMMYFUNCTION("JOIN("". "", ARRAYFORMULA(IFERROR(LEFT(SPLIT(dados_01!C523, "" ""), 1))))"),"")</f>
        <v/>
      </c>
      <c r="D523" s="95">
        <f>dados_01!D523</f>
        <v>0</v>
      </c>
      <c r="E523" s="95" t="str">
        <f>CONCATENATE(LEFT(dados_01!E523,3),REPT("*",6),RIGHT(dados_01!E523,2))</f>
        <v>******</v>
      </c>
      <c r="F523" s="95">
        <f>dados_01!F523</f>
        <v>0</v>
      </c>
      <c r="G523" s="95">
        <f>dados_01!G523</f>
        <v>0</v>
      </c>
      <c r="H523" s="95">
        <f>dados_01!H523</f>
        <v>0</v>
      </c>
      <c r="I523" s="95">
        <f>dados_01!I523</f>
        <v>0</v>
      </c>
      <c r="J523" s="95"/>
      <c r="K523" s="95"/>
      <c r="L523" s="95"/>
      <c r="M523" s="95"/>
      <c r="N523" s="95"/>
      <c r="O523" s="95"/>
      <c r="P523" s="95"/>
      <c r="Q523" s="95"/>
      <c r="R523" s="95"/>
      <c r="S523" s="95"/>
      <c r="T523" s="95"/>
      <c r="U523" s="95"/>
      <c r="V523" s="95"/>
      <c r="W523" s="95"/>
      <c r="X523" s="95"/>
      <c r="Y523" s="95"/>
      <c r="Z523" s="95"/>
    </row>
    <row r="524" ht="15.75" customHeight="1" spans="1:26">
      <c r="A524" s="95">
        <f>dados_01!A524</f>
        <v>0</v>
      </c>
      <c r="B524" s="95">
        <f>dados_01!B524</f>
        <v>0</v>
      </c>
      <c r="C524" s="95" t="str">
        <f>IFERROR(__xludf.DUMMYFUNCTION("JOIN("". "", ARRAYFORMULA(IFERROR(LEFT(SPLIT(dados_01!C524, "" ""), 1))))"),"")</f>
        <v/>
      </c>
      <c r="D524" s="95">
        <f>dados_01!D524</f>
        <v>0</v>
      </c>
      <c r="E524" s="95" t="str">
        <f>CONCATENATE(LEFT(dados_01!E524,3),REPT("*",6),RIGHT(dados_01!E524,2))</f>
        <v>******</v>
      </c>
      <c r="F524" s="95">
        <f>dados_01!F524</f>
        <v>0</v>
      </c>
      <c r="G524" s="95">
        <f>dados_01!G524</f>
        <v>0</v>
      </c>
      <c r="H524" s="95">
        <f>dados_01!H524</f>
        <v>0</v>
      </c>
      <c r="I524" s="95">
        <f>dados_01!I524</f>
        <v>0</v>
      </c>
      <c r="J524" s="95"/>
      <c r="K524" s="95"/>
      <c r="L524" s="95"/>
      <c r="M524" s="95"/>
      <c r="N524" s="95"/>
      <c r="O524" s="95"/>
      <c r="P524" s="95"/>
      <c r="Q524" s="95"/>
      <c r="R524" s="95"/>
      <c r="S524" s="95"/>
      <c r="T524" s="95"/>
      <c r="U524" s="95"/>
      <c r="V524" s="95"/>
      <c r="W524" s="95"/>
      <c r="X524" s="95"/>
      <c r="Y524" s="95"/>
      <c r="Z524" s="95"/>
    </row>
    <row r="525" ht="15.75" customHeight="1" spans="1:26">
      <c r="A525" s="95">
        <f>dados_01!A525</f>
        <v>0</v>
      </c>
      <c r="B525" s="95">
        <f>dados_01!B525</f>
        <v>0</v>
      </c>
      <c r="C525" s="95" t="str">
        <f>IFERROR(__xludf.DUMMYFUNCTION("JOIN("". "", ARRAYFORMULA(IFERROR(LEFT(SPLIT(dados_01!C525, "" ""), 1))))"),"")</f>
        <v/>
      </c>
      <c r="D525" s="95">
        <f>dados_01!D525</f>
        <v>0</v>
      </c>
      <c r="E525" s="95" t="str">
        <f>CONCATENATE(LEFT(dados_01!E525,3),REPT("*",6),RIGHT(dados_01!E525,2))</f>
        <v>******</v>
      </c>
      <c r="F525" s="95">
        <f>dados_01!F525</f>
        <v>0</v>
      </c>
      <c r="G525" s="95">
        <f>dados_01!G525</f>
        <v>0</v>
      </c>
      <c r="H525" s="95">
        <f>dados_01!H525</f>
        <v>0</v>
      </c>
      <c r="I525" s="95">
        <f>dados_01!I525</f>
        <v>0</v>
      </c>
      <c r="J525" s="95"/>
      <c r="K525" s="95"/>
      <c r="L525" s="95"/>
      <c r="M525" s="95"/>
      <c r="N525" s="95"/>
      <c r="O525" s="95"/>
      <c r="P525" s="95"/>
      <c r="Q525" s="95"/>
      <c r="R525" s="95"/>
      <c r="S525" s="95"/>
      <c r="T525" s="95"/>
      <c r="U525" s="95"/>
      <c r="V525" s="95"/>
      <c r="W525" s="95"/>
      <c r="X525" s="95"/>
      <c r="Y525" s="95"/>
      <c r="Z525" s="95"/>
    </row>
    <row r="526" ht="15.75" customHeight="1" spans="1:26">
      <c r="A526" s="95">
        <f>dados_01!A526</f>
        <v>0</v>
      </c>
      <c r="B526" s="95">
        <f>dados_01!B526</f>
        <v>0</v>
      </c>
      <c r="C526" s="95" t="str">
        <f>IFERROR(__xludf.DUMMYFUNCTION("JOIN("". "", ARRAYFORMULA(IFERROR(LEFT(SPLIT(dados_01!C526, "" ""), 1))))"),"")</f>
        <v/>
      </c>
      <c r="D526" s="95">
        <f>dados_01!D526</f>
        <v>0</v>
      </c>
      <c r="E526" s="95" t="str">
        <f>CONCATENATE(LEFT(dados_01!E526,3),REPT("*",6),RIGHT(dados_01!E526,2))</f>
        <v>******</v>
      </c>
      <c r="F526" s="95">
        <f>dados_01!F526</f>
        <v>0</v>
      </c>
      <c r="G526" s="95">
        <f>dados_01!G526</f>
        <v>0</v>
      </c>
      <c r="H526" s="95">
        <f>dados_01!H526</f>
        <v>0</v>
      </c>
      <c r="I526" s="95">
        <f>dados_01!I526</f>
        <v>0</v>
      </c>
      <c r="J526" s="95"/>
      <c r="K526" s="95"/>
      <c r="L526" s="95"/>
      <c r="M526" s="95"/>
      <c r="N526" s="95"/>
      <c r="O526" s="95"/>
      <c r="P526" s="95"/>
      <c r="Q526" s="95"/>
      <c r="R526" s="95"/>
      <c r="S526" s="95"/>
      <c r="T526" s="95"/>
      <c r="U526" s="95"/>
      <c r="V526" s="95"/>
      <c r="W526" s="95"/>
      <c r="X526" s="95"/>
      <c r="Y526" s="95"/>
      <c r="Z526" s="95"/>
    </row>
    <row r="527" ht="15.75" customHeight="1" spans="1:26">
      <c r="A527" s="95">
        <f>dados_01!A527</f>
        <v>0</v>
      </c>
      <c r="B527" s="95">
        <f>dados_01!B527</f>
        <v>0</v>
      </c>
      <c r="C527" s="95" t="str">
        <f>IFERROR(__xludf.DUMMYFUNCTION("JOIN("". "", ARRAYFORMULA(IFERROR(LEFT(SPLIT(dados_01!C527, "" ""), 1))))"),"")</f>
        <v/>
      </c>
      <c r="D527" s="95">
        <f>dados_01!D527</f>
        <v>0</v>
      </c>
      <c r="E527" s="95" t="str">
        <f>CONCATENATE(LEFT(dados_01!E527,3),REPT("*",6),RIGHT(dados_01!E527,2))</f>
        <v>******</v>
      </c>
      <c r="F527" s="95">
        <f>dados_01!F527</f>
        <v>0</v>
      </c>
      <c r="G527" s="95">
        <f>dados_01!G527</f>
        <v>0</v>
      </c>
      <c r="H527" s="95">
        <f>dados_01!H527</f>
        <v>0</v>
      </c>
      <c r="I527" s="95">
        <f>dados_01!I527</f>
        <v>0</v>
      </c>
      <c r="J527" s="95"/>
      <c r="K527" s="95"/>
      <c r="L527" s="95"/>
      <c r="M527" s="95"/>
      <c r="N527" s="95"/>
      <c r="O527" s="95"/>
      <c r="P527" s="95"/>
      <c r="Q527" s="95"/>
      <c r="R527" s="95"/>
      <c r="S527" s="95"/>
      <c r="T527" s="95"/>
      <c r="U527" s="95"/>
      <c r="V527" s="95"/>
      <c r="W527" s="95"/>
      <c r="X527" s="95"/>
      <c r="Y527" s="95"/>
      <c r="Z527" s="95"/>
    </row>
    <row r="528" ht="15.75" customHeight="1" spans="1:26">
      <c r="A528" s="95">
        <f>dados_01!A528</f>
        <v>0</v>
      </c>
      <c r="B528" s="95">
        <f>dados_01!B528</f>
        <v>0</v>
      </c>
      <c r="C528" s="95" t="str">
        <f>IFERROR(__xludf.DUMMYFUNCTION("JOIN("". "", ARRAYFORMULA(IFERROR(LEFT(SPLIT(dados_01!C528, "" ""), 1))))"),"")</f>
        <v/>
      </c>
      <c r="D528" s="95">
        <f>dados_01!D528</f>
        <v>0</v>
      </c>
      <c r="E528" s="95" t="str">
        <f>CONCATENATE(LEFT(dados_01!E528,3),REPT("*",6),RIGHT(dados_01!E528,2))</f>
        <v>******</v>
      </c>
      <c r="F528" s="95">
        <f>dados_01!F528</f>
        <v>0</v>
      </c>
      <c r="G528" s="95">
        <f>dados_01!G528</f>
        <v>0</v>
      </c>
      <c r="H528" s="95">
        <f>dados_01!H528</f>
        <v>0</v>
      </c>
      <c r="I528" s="95">
        <f>dados_01!I528</f>
        <v>0</v>
      </c>
      <c r="J528" s="95"/>
      <c r="K528" s="95"/>
      <c r="L528" s="95"/>
      <c r="M528" s="95"/>
      <c r="N528" s="95"/>
      <c r="O528" s="95"/>
      <c r="P528" s="95"/>
      <c r="Q528" s="95"/>
      <c r="R528" s="95"/>
      <c r="S528" s="95"/>
      <c r="T528" s="95"/>
      <c r="U528" s="95"/>
      <c r="V528" s="95"/>
      <c r="W528" s="95"/>
      <c r="X528" s="95"/>
      <c r="Y528" s="95"/>
      <c r="Z528" s="95"/>
    </row>
    <row r="529" ht="15.75" customHeight="1" spans="1:26">
      <c r="A529" s="95">
        <f>dados_01!A529</f>
        <v>0</v>
      </c>
      <c r="B529" s="95">
        <f>dados_01!B529</f>
        <v>0</v>
      </c>
      <c r="C529" s="95" t="str">
        <f>IFERROR(__xludf.DUMMYFUNCTION("JOIN("". "", ARRAYFORMULA(IFERROR(LEFT(SPLIT(dados_01!C529, "" ""), 1))))"),"")</f>
        <v/>
      </c>
      <c r="D529" s="95">
        <f>dados_01!D529</f>
        <v>0</v>
      </c>
      <c r="E529" s="95" t="str">
        <f>CONCATENATE(LEFT(dados_01!E529,3),REPT("*",6),RIGHT(dados_01!E529,2))</f>
        <v>******</v>
      </c>
      <c r="F529" s="95">
        <f>dados_01!F529</f>
        <v>0</v>
      </c>
      <c r="G529" s="95">
        <f>dados_01!G529</f>
        <v>0</v>
      </c>
      <c r="H529" s="95">
        <f>dados_01!H529</f>
        <v>0</v>
      </c>
      <c r="I529" s="95">
        <f>dados_01!I529</f>
        <v>0</v>
      </c>
      <c r="J529" s="95"/>
      <c r="K529" s="95"/>
      <c r="L529" s="95"/>
      <c r="M529" s="95"/>
      <c r="N529" s="95"/>
      <c r="O529" s="95"/>
      <c r="P529" s="95"/>
      <c r="Q529" s="95"/>
      <c r="R529" s="95"/>
      <c r="S529" s="95"/>
      <c r="T529" s="95"/>
      <c r="U529" s="95"/>
      <c r="V529" s="95"/>
      <c r="W529" s="95"/>
      <c r="X529" s="95"/>
      <c r="Y529" s="95"/>
      <c r="Z529" s="95"/>
    </row>
    <row r="530" ht="15.75" customHeight="1" spans="1:26">
      <c r="A530" s="95">
        <f>dados_01!A530</f>
        <v>0</v>
      </c>
      <c r="B530" s="95">
        <f>dados_01!B530</f>
        <v>0</v>
      </c>
      <c r="C530" s="95" t="str">
        <f>IFERROR(__xludf.DUMMYFUNCTION("JOIN("". "", ARRAYFORMULA(IFERROR(LEFT(SPLIT(dados_01!C530, "" ""), 1))))"),"")</f>
        <v/>
      </c>
      <c r="D530" s="95">
        <f>dados_01!D530</f>
        <v>0</v>
      </c>
      <c r="E530" s="95" t="str">
        <f>CONCATENATE(LEFT(dados_01!E530,3),REPT("*",6),RIGHT(dados_01!E530,2))</f>
        <v>******</v>
      </c>
      <c r="F530" s="95">
        <f>dados_01!F530</f>
        <v>0</v>
      </c>
      <c r="G530" s="95">
        <f>dados_01!G530</f>
        <v>0</v>
      </c>
      <c r="H530" s="95">
        <f>dados_01!H530</f>
        <v>0</v>
      </c>
      <c r="I530" s="95">
        <f>dados_01!I530</f>
        <v>0</v>
      </c>
      <c r="J530" s="95"/>
      <c r="K530" s="95"/>
      <c r="L530" s="95"/>
      <c r="M530" s="95"/>
      <c r="N530" s="95"/>
      <c r="O530" s="95"/>
      <c r="P530" s="95"/>
      <c r="Q530" s="95"/>
      <c r="R530" s="95"/>
      <c r="S530" s="95"/>
      <c r="T530" s="95"/>
      <c r="U530" s="95"/>
      <c r="V530" s="95"/>
      <c r="W530" s="95"/>
      <c r="X530" s="95"/>
      <c r="Y530" s="95"/>
      <c r="Z530" s="95"/>
    </row>
    <row r="531" ht="15.75" customHeight="1" spans="1:26">
      <c r="A531" s="95">
        <f>dados_01!A531</f>
        <v>0</v>
      </c>
      <c r="B531" s="95">
        <f>dados_01!B531</f>
        <v>0</v>
      </c>
      <c r="C531" s="95" t="str">
        <f>IFERROR(__xludf.DUMMYFUNCTION("JOIN("". "", ARRAYFORMULA(IFERROR(LEFT(SPLIT(dados_01!C531, "" ""), 1))))"),"")</f>
        <v/>
      </c>
      <c r="D531" s="95">
        <f>dados_01!D531</f>
        <v>0</v>
      </c>
      <c r="E531" s="95" t="str">
        <f>CONCATENATE(LEFT(dados_01!E531,3),REPT("*",6),RIGHT(dados_01!E531,2))</f>
        <v>******</v>
      </c>
      <c r="F531" s="95">
        <f>dados_01!F531</f>
        <v>0</v>
      </c>
      <c r="G531" s="95">
        <f>dados_01!G531</f>
        <v>0</v>
      </c>
      <c r="H531" s="95">
        <f>dados_01!H531</f>
        <v>0</v>
      </c>
      <c r="I531" s="95">
        <f>dados_01!I531</f>
        <v>0</v>
      </c>
      <c r="J531" s="95"/>
      <c r="K531" s="95"/>
      <c r="L531" s="95"/>
      <c r="M531" s="95"/>
      <c r="N531" s="95"/>
      <c r="O531" s="95"/>
      <c r="P531" s="95"/>
      <c r="Q531" s="95"/>
      <c r="R531" s="95"/>
      <c r="S531" s="95"/>
      <c r="T531" s="95"/>
      <c r="U531" s="95"/>
      <c r="V531" s="95"/>
      <c r="W531" s="95"/>
      <c r="X531" s="95"/>
      <c r="Y531" s="95"/>
      <c r="Z531" s="95"/>
    </row>
    <row r="532" ht="15.75" customHeight="1" spans="1:26">
      <c r="A532" s="95">
        <f>dados_01!A532</f>
        <v>0</v>
      </c>
      <c r="B532" s="95">
        <f>dados_01!B532</f>
        <v>0</v>
      </c>
      <c r="C532" s="95" t="str">
        <f>IFERROR(__xludf.DUMMYFUNCTION("JOIN("". "", ARRAYFORMULA(IFERROR(LEFT(SPLIT(dados_01!C532, "" ""), 1))))"),"")</f>
        <v/>
      </c>
      <c r="D532" s="95">
        <f>dados_01!D532</f>
        <v>0</v>
      </c>
      <c r="E532" s="95" t="str">
        <f>CONCATENATE(LEFT(dados_01!E532,3),REPT("*",6),RIGHT(dados_01!E532,2))</f>
        <v>******</v>
      </c>
      <c r="F532" s="95">
        <f>dados_01!F532</f>
        <v>0</v>
      </c>
      <c r="G532" s="95">
        <f>dados_01!G532</f>
        <v>0</v>
      </c>
      <c r="H532" s="95">
        <f>dados_01!H532</f>
        <v>0</v>
      </c>
      <c r="I532" s="95">
        <f>dados_01!I532</f>
        <v>0</v>
      </c>
      <c r="J532" s="95"/>
      <c r="K532" s="95"/>
      <c r="L532" s="95"/>
      <c r="M532" s="95"/>
      <c r="N532" s="95"/>
      <c r="O532" s="95"/>
      <c r="P532" s="95"/>
      <c r="Q532" s="95"/>
      <c r="R532" s="95"/>
      <c r="S532" s="95"/>
      <c r="T532" s="95"/>
      <c r="U532" s="95"/>
      <c r="V532" s="95"/>
      <c r="W532" s="95"/>
      <c r="X532" s="95"/>
      <c r="Y532" s="95"/>
      <c r="Z532" s="95"/>
    </row>
    <row r="533" ht="15.75" customHeight="1" spans="1:26">
      <c r="A533" s="95">
        <f>dados_01!A533</f>
        <v>0</v>
      </c>
      <c r="B533" s="95">
        <f>dados_01!B533</f>
        <v>0</v>
      </c>
      <c r="C533" s="95" t="str">
        <f>IFERROR(__xludf.DUMMYFUNCTION("JOIN("". "", ARRAYFORMULA(IFERROR(LEFT(SPLIT(dados_01!C533, "" ""), 1))))"),"")</f>
        <v/>
      </c>
      <c r="D533" s="95">
        <f>dados_01!D533</f>
        <v>0</v>
      </c>
      <c r="E533" s="95" t="str">
        <f>CONCATENATE(LEFT(dados_01!E533,3),REPT("*",6),RIGHT(dados_01!E533,2))</f>
        <v>******</v>
      </c>
      <c r="F533" s="95">
        <f>dados_01!F533</f>
        <v>0</v>
      </c>
      <c r="G533" s="95">
        <f>dados_01!G533</f>
        <v>0</v>
      </c>
      <c r="H533" s="95">
        <f>dados_01!H533</f>
        <v>0</v>
      </c>
      <c r="I533" s="95">
        <f>dados_01!I533</f>
        <v>0</v>
      </c>
      <c r="J533" s="95"/>
      <c r="K533" s="95"/>
      <c r="L533" s="95"/>
      <c r="M533" s="95"/>
      <c r="N533" s="95"/>
      <c r="O533" s="95"/>
      <c r="P533" s="95"/>
      <c r="Q533" s="95"/>
      <c r="R533" s="95"/>
      <c r="S533" s="95"/>
      <c r="T533" s="95"/>
      <c r="U533" s="95"/>
      <c r="V533" s="95"/>
      <c r="W533" s="95"/>
      <c r="X533" s="95"/>
      <c r="Y533" s="95"/>
      <c r="Z533" s="95"/>
    </row>
    <row r="534" ht="15.75" customHeight="1" spans="1:26">
      <c r="A534" s="95">
        <f>dados_01!A534</f>
        <v>0</v>
      </c>
      <c r="B534" s="95">
        <f>dados_01!B534</f>
        <v>0</v>
      </c>
      <c r="C534" s="95" t="str">
        <f>IFERROR(__xludf.DUMMYFUNCTION("JOIN("". "", ARRAYFORMULA(IFERROR(LEFT(SPLIT(dados_01!C534, "" ""), 1))))"),"")</f>
        <v/>
      </c>
      <c r="D534" s="95">
        <f>dados_01!D534</f>
        <v>0</v>
      </c>
      <c r="E534" s="95" t="str">
        <f>CONCATENATE(LEFT(dados_01!E534,3),REPT("*",6),RIGHT(dados_01!E534,2))</f>
        <v>******</v>
      </c>
      <c r="F534" s="95">
        <f>dados_01!F534</f>
        <v>0</v>
      </c>
      <c r="G534" s="95">
        <f>dados_01!G534</f>
        <v>0</v>
      </c>
      <c r="H534" s="95">
        <f>dados_01!H534</f>
        <v>0</v>
      </c>
      <c r="I534" s="95">
        <f>dados_01!I534</f>
        <v>0</v>
      </c>
      <c r="J534" s="95"/>
      <c r="K534" s="95"/>
      <c r="L534" s="95"/>
      <c r="M534" s="95"/>
      <c r="N534" s="95"/>
      <c r="O534" s="95"/>
      <c r="P534" s="95"/>
      <c r="Q534" s="95"/>
      <c r="R534" s="95"/>
      <c r="S534" s="95"/>
      <c r="T534" s="95"/>
      <c r="U534" s="95"/>
      <c r="V534" s="95"/>
      <c r="W534" s="95"/>
      <c r="X534" s="95"/>
      <c r="Y534" s="95"/>
      <c r="Z534" s="95"/>
    </row>
    <row r="535" ht="15.75" customHeight="1" spans="1:26">
      <c r="A535" s="95">
        <f>dados_01!A535</f>
        <v>0</v>
      </c>
      <c r="B535" s="95">
        <f>dados_01!B535</f>
        <v>0</v>
      </c>
      <c r="C535" s="95" t="str">
        <f>IFERROR(__xludf.DUMMYFUNCTION("JOIN("". "", ARRAYFORMULA(IFERROR(LEFT(SPLIT(dados_01!C535, "" ""), 1))))"),"")</f>
        <v/>
      </c>
      <c r="D535" s="95">
        <f>dados_01!D535</f>
        <v>0</v>
      </c>
      <c r="E535" s="95" t="str">
        <f>CONCATENATE(LEFT(dados_01!E535,3),REPT("*",6),RIGHT(dados_01!E535,2))</f>
        <v>******</v>
      </c>
      <c r="F535" s="95">
        <f>dados_01!F535</f>
        <v>0</v>
      </c>
      <c r="G535" s="95">
        <f>dados_01!G535</f>
        <v>0</v>
      </c>
      <c r="H535" s="95">
        <f>dados_01!H535</f>
        <v>0</v>
      </c>
      <c r="I535" s="95">
        <f>dados_01!I535</f>
        <v>0</v>
      </c>
      <c r="J535" s="95"/>
      <c r="K535" s="95"/>
      <c r="L535" s="95"/>
      <c r="M535" s="95"/>
      <c r="N535" s="95"/>
      <c r="O535" s="95"/>
      <c r="P535" s="95"/>
      <c r="Q535" s="95"/>
      <c r="R535" s="95"/>
      <c r="S535" s="95"/>
      <c r="T535" s="95"/>
      <c r="U535" s="95"/>
      <c r="V535" s="95"/>
      <c r="W535" s="95"/>
      <c r="X535" s="95"/>
      <c r="Y535" s="95"/>
      <c r="Z535" s="95"/>
    </row>
    <row r="536" ht="15.75" customHeight="1" spans="1:26">
      <c r="A536" s="95">
        <f>dados_01!A536</f>
        <v>0</v>
      </c>
      <c r="B536" s="95">
        <f>dados_01!B536</f>
        <v>0</v>
      </c>
      <c r="C536" s="95" t="str">
        <f>IFERROR(__xludf.DUMMYFUNCTION("JOIN("". "", ARRAYFORMULA(IFERROR(LEFT(SPLIT(dados_01!C536, "" ""), 1))))"),"")</f>
        <v/>
      </c>
      <c r="D536" s="95">
        <f>dados_01!D536</f>
        <v>0</v>
      </c>
      <c r="E536" s="95" t="str">
        <f>CONCATENATE(LEFT(dados_01!E536,3),REPT("*",6),RIGHT(dados_01!E536,2))</f>
        <v>******</v>
      </c>
      <c r="F536" s="95">
        <f>dados_01!F536</f>
        <v>0</v>
      </c>
      <c r="G536" s="95">
        <f>dados_01!G536</f>
        <v>0</v>
      </c>
      <c r="H536" s="95">
        <f>dados_01!H536</f>
        <v>0</v>
      </c>
      <c r="I536" s="95">
        <f>dados_01!I536</f>
        <v>0</v>
      </c>
      <c r="J536" s="95"/>
      <c r="K536" s="95"/>
      <c r="L536" s="95"/>
      <c r="M536" s="95"/>
      <c r="N536" s="95"/>
      <c r="O536" s="95"/>
      <c r="P536" s="95"/>
      <c r="Q536" s="95"/>
      <c r="R536" s="95"/>
      <c r="S536" s="95"/>
      <c r="T536" s="95"/>
      <c r="U536" s="95"/>
      <c r="V536" s="95"/>
      <c r="W536" s="95"/>
      <c r="X536" s="95"/>
      <c r="Y536" s="95"/>
      <c r="Z536" s="95"/>
    </row>
    <row r="537" ht="15.75" customHeight="1" spans="1:26">
      <c r="A537" s="95">
        <f>dados_01!A537</f>
        <v>0</v>
      </c>
      <c r="B537" s="95">
        <f>dados_01!B537</f>
        <v>0</v>
      </c>
      <c r="C537" s="95" t="str">
        <f>IFERROR(__xludf.DUMMYFUNCTION("JOIN("". "", ARRAYFORMULA(IFERROR(LEFT(SPLIT(dados_01!C537, "" ""), 1))))"),"")</f>
        <v/>
      </c>
      <c r="D537" s="95">
        <f>dados_01!D537</f>
        <v>0</v>
      </c>
      <c r="E537" s="95" t="str">
        <f>CONCATENATE(LEFT(dados_01!E537,3),REPT("*",6),RIGHT(dados_01!E537,2))</f>
        <v>******</v>
      </c>
      <c r="F537" s="95">
        <f>dados_01!F537</f>
        <v>0</v>
      </c>
      <c r="G537" s="95">
        <f>dados_01!G537</f>
        <v>0</v>
      </c>
      <c r="H537" s="95">
        <f>dados_01!H537</f>
        <v>0</v>
      </c>
      <c r="I537" s="95">
        <f>dados_01!I537</f>
        <v>0</v>
      </c>
      <c r="J537" s="95"/>
      <c r="K537" s="95"/>
      <c r="L537" s="95"/>
      <c r="M537" s="95"/>
      <c r="N537" s="95"/>
      <c r="O537" s="95"/>
      <c r="P537" s="95"/>
      <c r="Q537" s="95"/>
      <c r="R537" s="95"/>
      <c r="S537" s="95"/>
      <c r="T537" s="95"/>
      <c r="U537" s="95"/>
      <c r="V537" s="95"/>
      <c r="W537" s="95"/>
      <c r="X537" s="95"/>
      <c r="Y537" s="95"/>
      <c r="Z537" s="95"/>
    </row>
    <row r="538" ht="15.75" customHeight="1" spans="1:26">
      <c r="A538" s="95">
        <f>dados_01!A538</f>
        <v>0</v>
      </c>
      <c r="B538" s="95">
        <f>dados_01!B538</f>
        <v>0</v>
      </c>
      <c r="C538" s="95" t="str">
        <f>IFERROR(__xludf.DUMMYFUNCTION("JOIN("". "", ARRAYFORMULA(IFERROR(LEFT(SPLIT(dados_01!C538, "" ""), 1))))"),"")</f>
        <v/>
      </c>
      <c r="D538" s="95">
        <f>dados_01!D538</f>
        <v>0</v>
      </c>
      <c r="E538" s="95" t="str">
        <f>CONCATENATE(LEFT(dados_01!E538,3),REPT("*",6),RIGHT(dados_01!E538,2))</f>
        <v>******</v>
      </c>
      <c r="F538" s="95">
        <f>dados_01!F538</f>
        <v>0</v>
      </c>
      <c r="G538" s="95">
        <f>dados_01!G538</f>
        <v>0</v>
      </c>
      <c r="H538" s="95">
        <f>dados_01!H538</f>
        <v>0</v>
      </c>
      <c r="I538" s="95">
        <f>dados_01!I538</f>
        <v>0</v>
      </c>
      <c r="J538" s="95"/>
      <c r="K538" s="95"/>
      <c r="L538" s="95"/>
      <c r="M538" s="95"/>
      <c r="N538" s="95"/>
      <c r="O538" s="95"/>
      <c r="P538" s="95"/>
      <c r="Q538" s="95"/>
      <c r="R538" s="95"/>
      <c r="S538" s="95"/>
      <c r="T538" s="95"/>
      <c r="U538" s="95"/>
      <c r="V538" s="95"/>
      <c r="W538" s="95"/>
      <c r="X538" s="95"/>
      <c r="Y538" s="95"/>
      <c r="Z538" s="95"/>
    </row>
    <row r="539" ht="15.75" customHeight="1" spans="1:26">
      <c r="A539" s="95">
        <f>dados_01!A539</f>
        <v>0</v>
      </c>
      <c r="B539" s="95">
        <f>dados_01!B539</f>
        <v>0</v>
      </c>
      <c r="C539" s="95" t="str">
        <f>IFERROR(__xludf.DUMMYFUNCTION("JOIN("". "", ARRAYFORMULA(IFERROR(LEFT(SPLIT(dados_01!C539, "" ""), 1))))"),"")</f>
        <v/>
      </c>
      <c r="D539" s="95">
        <f>dados_01!D539</f>
        <v>0</v>
      </c>
      <c r="E539" s="95" t="str">
        <f>CONCATENATE(LEFT(dados_01!E539,3),REPT("*",6),RIGHT(dados_01!E539,2))</f>
        <v>******</v>
      </c>
      <c r="F539" s="95">
        <f>dados_01!F539</f>
        <v>0</v>
      </c>
      <c r="G539" s="95">
        <f>dados_01!G539</f>
        <v>0</v>
      </c>
      <c r="H539" s="95">
        <f>dados_01!H539</f>
        <v>0</v>
      </c>
      <c r="I539" s="95">
        <f>dados_01!I539</f>
        <v>0</v>
      </c>
      <c r="J539" s="95"/>
      <c r="K539" s="95"/>
      <c r="L539" s="95"/>
      <c r="M539" s="95"/>
      <c r="N539" s="95"/>
      <c r="O539" s="95"/>
      <c r="P539" s="95"/>
      <c r="Q539" s="95"/>
      <c r="R539" s="95"/>
      <c r="S539" s="95"/>
      <c r="T539" s="95"/>
      <c r="U539" s="95"/>
      <c r="V539" s="95"/>
      <c r="W539" s="95"/>
      <c r="X539" s="95"/>
      <c r="Y539" s="95"/>
      <c r="Z539" s="95"/>
    </row>
    <row r="540" ht="15.75" customHeight="1" spans="1:26">
      <c r="A540" s="95">
        <f>dados_01!A540</f>
        <v>0</v>
      </c>
      <c r="B540" s="95">
        <f>dados_01!B540</f>
        <v>0</v>
      </c>
      <c r="C540" s="95" t="str">
        <f>IFERROR(__xludf.DUMMYFUNCTION("JOIN("". "", ARRAYFORMULA(IFERROR(LEFT(SPLIT(dados_01!C540, "" ""), 1))))"),"")</f>
        <v/>
      </c>
      <c r="D540" s="95">
        <f>dados_01!D540</f>
        <v>0</v>
      </c>
      <c r="E540" s="95" t="str">
        <f>CONCATENATE(LEFT(dados_01!E540,3),REPT("*",6),RIGHT(dados_01!E540,2))</f>
        <v>******</v>
      </c>
      <c r="F540" s="95">
        <f>dados_01!F540</f>
        <v>0</v>
      </c>
      <c r="G540" s="95">
        <f>dados_01!G540</f>
        <v>0</v>
      </c>
      <c r="H540" s="95">
        <f>dados_01!H540</f>
        <v>0</v>
      </c>
      <c r="I540" s="95">
        <f>dados_01!I540</f>
        <v>0</v>
      </c>
      <c r="J540" s="95"/>
      <c r="K540" s="95"/>
      <c r="L540" s="95"/>
      <c r="M540" s="95"/>
      <c r="N540" s="95"/>
      <c r="O540" s="95"/>
      <c r="P540" s="95"/>
      <c r="Q540" s="95"/>
      <c r="R540" s="95"/>
      <c r="S540" s="95"/>
      <c r="T540" s="95"/>
      <c r="U540" s="95"/>
      <c r="V540" s="95"/>
      <c r="W540" s="95"/>
      <c r="X540" s="95"/>
      <c r="Y540" s="95"/>
      <c r="Z540" s="95"/>
    </row>
    <row r="541" ht="15.75" customHeight="1" spans="1:26">
      <c r="A541" s="95">
        <f>dados_01!A541</f>
        <v>0</v>
      </c>
      <c r="B541" s="95">
        <f>dados_01!B541</f>
        <v>0</v>
      </c>
      <c r="C541" s="95" t="str">
        <f>IFERROR(__xludf.DUMMYFUNCTION("JOIN("". "", ARRAYFORMULA(IFERROR(LEFT(SPLIT(dados_01!C541, "" ""), 1))))"),"")</f>
        <v/>
      </c>
      <c r="D541" s="95">
        <f>dados_01!D541</f>
        <v>0</v>
      </c>
      <c r="E541" s="95" t="str">
        <f>CONCATENATE(LEFT(dados_01!E541,3),REPT("*",6),RIGHT(dados_01!E541,2))</f>
        <v>******</v>
      </c>
      <c r="F541" s="95">
        <f>dados_01!F541</f>
        <v>0</v>
      </c>
      <c r="G541" s="95">
        <f>dados_01!G541</f>
        <v>0</v>
      </c>
      <c r="H541" s="95">
        <f>dados_01!H541</f>
        <v>0</v>
      </c>
      <c r="I541" s="95">
        <f>dados_01!I541</f>
        <v>0</v>
      </c>
      <c r="J541" s="95"/>
      <c r="K541" s="95"/>
      <c r="L541" s="95"/>
      <c r="M541" s="95"/>
      <c r="N541" s="95"/>
      <c r="O541" s="95"/>
      <c r="P541" s="95"/>
      <c r="Q541" s="95"/>
      <c r="R541" s="95"/>
      <c r="S541" s="95"/>
      <c r="T541" s="95"/>
      <c r="U541" s="95"/>
      <c r="V541" s="95"/>
      <c r="W541" s="95"/>
      <c r="X541" s="95"/>
      <c r="Y541" s="95"/>
      <c r="Z541" s="95"/>
    </row>
    <row r="542" ht="15.75" customHeight="1" spans="1:26">
      <c r="A542" s="95">
        <f>dados_01!A542</f>
        <v>0</v>
      </c>
      <c r="B542" s="95">
        <f>dados_01!B542</f>
        <v>0</v>
      </c>
      <c r="C542" s="95" t="str">
        <f>IFERROR(__xludf.DUMMYFUNCTION("JOIN("". "", ARRAYFORMULA(IFERROR(LEFT(SPLIT(dados_01!C542, "" ""), 1))))"),"")</f>
        <v/>
      </c>
      <c r="D542" s="95">
        <f>dados_01!D542</f>
        <v>0</v>
      </c>
      <c r="E542" s="95" t="str">
        <f>CONCATENATE(LEFT(dados_01!E542,3),REPT("*",6),RIGHT(dados_01!E542,2))</f>
        <v>******</v>
      </c>
      <c r="F542" s="95">
        <f>dados_01!F542</f>
        <v>0</v>
      </c>
      <c r="G542" s="95">
        <f>dados_01!G542</f>
        <v>0</v>
      </c>
      <c r="H542" s="95">
        <f>dados_01!H542</f>
        <v>0</v>
      </c>
      <c r="I542" s="95">
        <f>dados_01!I542</f>
        <v>0</v>
      </c>
      <c r="J542" s="95"/>
      <c r="K542" s="95"/>
      <c r="L542" s="95"/>
      <c r="M542" s="95"/>
      <c r="N542" s="95"/>
      <c r="O542" s="95"/>
      <c r="P542" s="95"/>
      <c r="Q542" s="95"/>
      <c r="R542" s="95"/>
      <c r="S542" s="95"/>
      <c r="T542" s="95"/>
      <c r="U542" s="95"/>
      <c r="V542" s="95"/>
      <c r="W542" s="95"/>
      <c r="X542" s="95"/>
      <c r="Y542" s="95"/>
      <c r="Z542" s="95"/>
    </row>
    <row r="543" ht="15.75" customHeight="1" spans="1:26">
      <c r="A543" s="95">
        <f>dados_01!A543</f>
        <v>0</v>
      </c>
      <c r="B543" s="95">
        <f>dados_01!B543</f>
        <v>0</v>
      </c>
      <c r="C543" s="95" t="str">
        <f>IFERROR(__xludf.DUMMYFUNCTION("JOIN("". "", ARRAYFORMULA(IFERROR(LEFT(SPLIT(dados_01!C543, "" ""), 1))))"),"")</f>
        <v/>
      </c>
      <c r="D543" s="95">
        <f>dados_01!D543</f>
        <v>0</v>
      </c>
      <c r="E543" s="95" t="str">
        <f>CONCATENATE(LEFT(dados_01!E543,3),REPT("*",6),RIGHT(dados_01!E543,2))</f>
        <v>******</v>
      </c>
      <c r="F543" s="95">
        <f>dados_01!F543</f>
        <v>0</v>
      </c>
      <c r="G543" s="95">
        <f>dados_01!G543</f>
        <v>0</v>
      </c>
      <c r="H543" s="95">
        <f>dados_01!H543</f>
        <v>0</v>
      </c>
      <c r="I543" s="95">
        <f>dados_01!I543</f>
        <v>0</v>
      </c>
      <c r="J543" s="95"/>
      <c r="K543" s="95"/>
      <c r="L543" s="95"/>
      <c r="M543" s="95"/>
      <c r="N543" s="95"/>
      <c r="O543" s="95"/>
      <c r="P543" s="95"/>
      <c r="Q543" s="95"/>
      <c r="R543" s="95"/>
      <c r="S543" s="95"/>
      <c r="T543" s="95"/>
      <c r="U543" s="95"/>
      <c r="V543" s="95"/>
      <c r="W543" s="95"/>
      <c r="X543" s="95"/>
      <c r="Y543" s="95"/>
      <c r="Z543" s="95"/>
    </row>
    <row r="544" ht="15.75" customHeight="1" spans="1:26">
      <c r="A544" s="95">
        <f>dados_01!A544</f>
        <v>0</v>
      </c>
      <c r="B544" s="95">
        <f>dados_01!B544</f>
        <v>0</v>
      </c>
      <c r="C544" s="95" t="str">
        <f>IFERROR(__xludf.DUMMYFUNCTION("JOIN("". "", ARRAYFORMULA(IFERROR(LEFT(SPLIT(dados_01!C544, "" ""), 1))))"),"")</f>
        <v/>
      </c>
      <c r="D544" s="95">
        <f>dados_01!D544</f>
        <v>0</v>
      </c>
      <c r="E544" s="95" t="str">
        <f>CONCATENATE(LEFT(dados_01!E544,3),REPT("*",6),RIGHT(dados_01!E544,2))</f>
        <v>******</v>
      </c>
      <c r="F544" s="95">
        <f>dados_01!F544</f>
        <v>0</v>
      </c>
      <c r="G544" s="95">
        <f>dados_01!G544</f>
        <v>0</v>
      </c>
      <c r="H544" s="95">
        <f>dados_01!H544</f>
        <v>0</v>
      </c>
      <c r="I544" s="95">
        <f>dados_01!I544</f>
        <v>0</v>
      </c>
      <c r="J544" s="95"/>
      <c r="K544" s="95"/>
      <c r="L544" s="95"/>
      <c r="M544" s="95"/>
      <c r="N544" s="95"/>
      <c r="O544" s="95"/>
      <c r="P544" s="95"/>
      <c r="Q544" s="95"/>
      <c r="R544" s="95"/>
      <c r="S544" s="95"/>
      <c r="T544" s="95"/>
      <c r="U544" s="95"/>
      <c r="V544" s="95"/>
      <c r="W544" s="95"/>
      <c r="X544" s="95"/>
      <c r="Y544" s="95"/>
      <c r="Z544" s="95"/>
    </row>
    <row r="545" ht="15.75" customHeight="1" spans="1:26">
      <c r="A545" s="95">
        <f>dados_01!A545</f>
        <v>0</v>
      </c>
      <c r="B545" s="95">
        <f>dados_01!B545</f>
        <v>0</v>
      </c>
      <c r="C545" s="95" t="str">
        <f>IFERROR(__xludf.DUMMYFUNCTION("JOIN("". "", ARRAYFORMULA(IFERROR(LEFT(SPLIT(dados_01!C545, "" ""), 1))))"),"")</f>
        <v/>
      </c>
      <c r="D545" s="95">
        <f>dados_01!D545</f>
        <v>0</v>
      </c>
      <c r="E545" s="95" t="str">
        <f>CONCATENATE(LEFT(dados_01!E545,3),REPT("*",6),RIGHT(dados_01!E545,2))</f>
        <v>******</v>
      </c>
      <c r="F545" s="95">
        <f>dados_01!F545</f>
        <v>0</v>
      </c>
      <c r="G545" s="95">
        <f>dados_01!G545</f>
        <v>0</v>
      </c>
      <c r="H545" s="95">
        <f>dados_01!H545</f>
        <v>0</v>
      </c>
      <c r="I545" s="95">
        <f>dados_01!I545</f>
        <v>0</v>
      </c>
      <c r="J545" s="95"/>
      <c r="K545" s="95"/>
      <c r="L545" s="95"/>
      <c r="M545" s="95"/>
      <c r="N545" s="95"/>
      <c r="O545" s="95"/>
      <c r="P545" s="95"/>
      <c r="Q545" s="95"/>
      <c r="R545" s="95"/>
      <c r="S545" s="95"/>
      <c r="T545" s="95"/>
      <c r="U545" s="95"/>
      <c r="V545" s="95"/>
      <c r="W545" s="95"/>
      <c r="X545" s="95"/>
      <c r="Y545" s="95"/>
      <c r="Z545" s="95"/>
    </row>
    <row r="546" ht="15.75" customHeight="1" spans="1:26">
      <c r="A546" s="95">
        <f>dados_01!A546</f>
        <v>0</v>
      </c>
      <c r="B546" s="95">
        <f>dados_01!B546</f>
        <v>0</v>
      </c>
      <c r="C546" s="95" t="str">
        <f>IFERROR(__xludf.DUMMYFUNCTION("JOIN("". "", ARRAYFORMULA(IFERROR(LEFT(SPLIT(dados_01!C546, "" ""), 1))))"),"")</f>
        <v/>
      </c>
      <c r="D546" s="95">
        <f>dados_01!D546</f>
        <v>0</v>
      </c>
      <c r="E546" s="95" t="str">
        <f>CONCATENATE(LEFT(dados_01!E546,3),REPT("*",6),RIGHT(dados_01!E546,2))</f>
        <v>******</v>
      </c>
      <c r="F546" s="95">
        <f>dados_01!F546</f>
        <v>0</v>
      </c>
      <c r="G546" s="95">
        <f>dados_01!G546</f>
        <v>0</v>
      </c>
      <c r="H546" s="95">
        <f>dados_01!H546</f>
        <v>0</v>
      </c>
      <c r="I546" s="95">
        <f>dados_01!I546</f>
        <v>0</v>
      </c>
      <c r="J546" s="95"/>
      <c r="K546" s="95"/>
      <c r="L546" s="95"/>
      <c r="M546" s="95"/>
      <c r="N546" s="95"/>
      <c r="O546" s="95"/>
      <c r="P546" s="95"/>
      <c r="Q546" s="95"/>
      <c r="R546" s="95"/>
      <c r="S546" s="95"/>
      <c r="T546" s="95"/>
      <c r="U546" s="95"/>
      <c r="V546" s="95"/>
      <c r="W546" s="95"/>
      <c r="X546" s="95"/>
      <c r="Y546" s="95"/>
      <c r="Z546" s="95"/>
    </row>
    <row r="547" ht="15.75" customHeight="1" spans="1:26">
      <c r="A547" s="95">
        <f>dados_01!A547</f>
        <v>0</v>
      </c>
      <c r="B547" s="95">
        <f>dados_01!B547</f>
        <v>0</v>
      </c>
      <c r="C547" s="95" t="str">
        <f>IFERROR(__xludf.DUMMYFUNCTION("JOIN("". "", ARRAYFORMULA(IFERROR(LEFT(SPLIT(dados_01!C547, "" ""), 1))))"),"")</f>
        <v/>
      </c>
      <c r="D547" s="95">
        <f>dados_01!D547</f>
        <v>0</v>
      </c>
      <c r="E547" s="95" t="str">
        <f>CONCATENATE(LEFT(dados_01!E547,3),REPT("*",6),RIGHT(dados_01!E547,2))</f>
        <v>******</v>
      </c>
      <c r="F547" s="95">
        <f>dados_01!F547</f>
        <v>0</v>
      </c>
      <c r="G547" s="95">
        <f>dados_01!G547</f>
        <v>0</v>
      </c>
      <c r="H547" s="95">
        <f>dados_01!H547</f>
        <v>0</v>
      </c>
      <c r="I547" s="95">
        <f>dados_01!I547</f>
        <v>0</v>
      </c>
      <c r="J547" s="95"/>
      <c r="K547" s="95"/>
      <c r="L547" s="95"/>
      <c r="M547" s="95"/>
      <c r="N547" s="95"/>
      <c r="O547" s="95"/>
      <c r="P547" s="95"/>
      <c r="Q547" s="95"/>
      <c r="R547" s="95"/>
      <c r="S547" s="95"/>
      <c r="T547" s="95"/>
      <c r="U547" s="95"/>
      <c r="V547" s="95"/>
      <c r="W547" s="95"/>
      <c r="X547" s="95"/>
      <c r="Y547" s="95"/>
      <c r="Z547" s="95"/>
    </row>
    <row r="548" ht="15.75" customHeight="1" spans="1:26">
      <c r="A548" s="95">
        <f>dados_01!A548</f>
        <v>0</v>
      </c>
      <c r="B548" s="95">
        <f>dados_01!B548</f>
        <v>0</v>
      </c>
      <c r="C548" s="95" t="str">
        <f>IFERROR(__xludf.DUMMYFUNCTION("JOIN("". "", ARRAYFORMULA(IFERROR(LEFT(SPLIT(dados_01!C548, "" ""), 1))))"),"")</f>
        <v/>
      </c>
      <c r="D548" s="95">
        <f>dados_01!D548</f>
        <v>0</v>
      </c>
      <c r="E548" s="95" t="str">
        <f>CONCATENATE(LEFT(dados_01!E548,3),REPT("*",6),RIGHT(dados_01!E548,2))</f>
        <v>******</v>
      </c>
      <c r="F548" s="95">
        <f>dados_01!F548</f>
        <v>0</v>
      </c>
      <c r="G548" s="95">
        <f>dados_01!G548</f>
        <v>0</v>
      </c>
      <c r="H548" s="95">
        <f>dados_01!H548</f>
        <v>0</v>
      </c>
      <c r="I548" s="95">
        <f>dados_01!I548</f>
        <v>0</v>
      </c>
      <c r="J548" s="95"/>
      <c r="K548" s="95"/>
      <c r="L548" s="95"/>
      <c r="M548" s="95"/>
      <c r="N548" s="95"/>
      <c r="O548" s="95"/>
      <c r="P548" s="95"/>
      <c r="Q548" s="95"/>
      <c r="R548" s="95"/>
      <c r="S548" s="95"/>
      <c r="T548" s="95"/>
      <c r="U548" s="95"/>
      <c r="V548" s="95"/>
      <c r="W548" s="95"/>
      <c r="X548" s="95"/>
      <c r="Y548" s="95"/>
      <c r="Z548" s="95"/>
    </row>
    <row r="549" ht="15.75" customHeight="1" spans="1:26">
      <c r="A549" s="95">
        <f>dados_01!A549</f>
        <v>0</v>
      </c>
      <c r="B549" s="95">
        <f>dados_01!B549</f>
        <v>0</v>
      </c>
      <c r="C549" s="95" t="str">
        <f>IFERROR(__xludf.DUMMYFUNCTION("JOIN("". "", ARRAYFORMULA(IFERROR(LEFT(SPLIT(dados_01!C549, "" ""), 1))))"),"")</f>
        <v/>
      </c>
      <c r="D549" s="95">
        <f>dados_01!D549</f>
        <v>0</v>
      </c>
      <c r="E549" s="95" t="str">
        <f>CONCATENATE(LEFT(dados_01!E549,3),REPT("*",6),RIGHT(dados_01!E549,2))</f>
        <v>******</v>
      </c>
      <c r="F549" s="95">
        <f>dados_01!F549</f>
        <v>0</v>
      </c>
      <c r="G549" s="95">
        <f>dados_01!G549</f>
        <v>0</v>
      </c>
      <c r="H549" s="95">
        <f>dados_01!H549</f>
        <v>0</v>
      </c>
      <c r="I549" s="95">
        <f>dados_01!I549</f>
        <v>0</v>
      </c>
      <c r="J549" s="95"/>
      <c r="K549" s="95"/>
      <c r="L549" s="95"/>
      <c r="M549" s="95"/>
      <c r="N549" s="95"/>
      <c r="O549" s="95"/>
      <c r="P549" s="95"/>
      <c r="Q549" s="95"/>
      <c r="R549" s="95"/>
      <c r="S549" s="95"/>
      <c r="T549" s="95"/>
      <c r="U549" s="95"/>
      <c r="V549" s="95"/>
      <c r="W549" s="95"/>
      <c r="X549" s="95"/>
      <c r="Y549" s="95"/>
      <c r="Z549" s="95"/>
    </row>
    <row r="550" ht="15.75" customHeight="1" spans="1:26">
      <c r="A550" s="95">
        <f>dados_01!A550</f>
        <v>0</v>
      </c>
      <c r="B550" s="95">
        <f>dados_01!B550</f>
        <v>0</v>
      </c>
      <c r="C550" s="95" t="str">
        <f>IFERROR(__xludf.DUMMYFUNCTION("JOIN("". "", ARRAYFORMULA(IFERROR(LEFT(SPLIT(dados_01!C550, "" ""), 1))))"),"")</f>
        <v/>
      </c>
      <c r="D550" s="95">
        <f>dados_01!D550</f>
        <v>0</v>
      </c>
      <c r="E550" s="95" t="str">
        <f>CONCATENATE(LEFT(dados_01!E550,3),REPT("*",6),RIGHT(dados_01!E550,2))</f>
        <v>******</v>
      </c>
      <c r="F550" s="95">
        <f>dados_01!F550</f>
        <v>0</v>
      </c>
      <c r="G550" s="95">
        <f>dados_01!G550</f>
        <v>0</v>
      </c>
      <c r="H550" s="95">
        <f>dados_01!H550</f>
        <v>0</v>
      </c>
      <c r="I550" s="95">
        <f>dados_01!I550</f>
        <v>0</v>
      </c>
      <c r="J550" s="95"/>
      <c r="K550" s="95"/>
      <c r="L550" s="95"/>
      <c r="M550" s="95"/>
      <c r="N550" s="95"/>
      <c r="O550" s="95"/>
      <c r="P550" s="95"/>
      <c r="Q550" s="95"/>
      <c r="R550" s="95"/>
      <c r="S550" s="95"/>
      <c r="T550" s="95"/>
      <c r="U550" s="95"/>
      <c r="V550" s="95"/>
      <c r="W550" s="95"/>
      <c r="X550" s="95"/>
      <c r="Y550" s="95"/>
      <c r="Z550" s="95"/>
    </row>
    <row r="551" ht="15.75" customHeight="1" spans="1:26">
      <c r="A551" s="95">
        <f>dados_01!A551</f>
        <v>0</v>
      </c>
      <c r="B551" s="95">
        <f>dados_01!B551</f>
        <v>0</v>
      </c>
      <c r="C551" s="95" t="str">
        <f>IFERROR(__xludf.DUMMYFUNCTION("JOIN("". "", ARRAYFORMULA(IFERROR(LEFT(SPLIT(dados_01!C551, "" ""), 1))))"),"")</f>
        <v/>
      </c>
      <c r="D551" s="95">
        <f>dados_01!D551</f>
        <v>0</v>
      </c>
      <c r="E551" s="95" t="str">
        <f>CONCATENATE(LEFT(dados_01!E551,3),REPT("*",6),RIGHT(dados_01!E551,2))</f>
        <v>******</v>
      </c>
      <c r="F551" s="95">
        <f>dados_01!F551</f>
        <v>0</v>
      </c>
      <c r="G551" s="95">
        <f>dados_01!G551</f>
        <v>0</v>
      </c>
      <c r="H551" s="95">
        <f>dados_01!H551</f>
        <v>0</v>
      </c>
      <c r="I551" s="95">
        <f>dados_01!I551</f>
        <v>0</v>
      </c>
      <c r="J551" s="95"/>
      <c r="K551" s="95"/>
      <c r="L551" s="95"/>
      <c r="M551" s="95"/>
      <c r="N551" s="95"/>
      <c r="O551" s="95"/>
      <c r="P551" s="95"/>
      <c r="Q551" s="95"/>
      <c r="R551" s="95"/>
      <c r="S551" s="95"/>
      <c r="T551" s="95"/>
      <c r="U551" s="95"/>
      <c r="V551" s="95"/>
      <c r="W551" s="95"/>
      <c r="X551" s="95"/>
      <c r="Y551" s="95"/>
      <c r="Z551" s="95"/>
    </row>
    <row r="552" ht="15.75" customHeight="1" spans="1:26">
      <c r="A552" s="95">
        <f>dados_01!A552</f>
        <v>0</v>
      </c>
      <c r="B552" s="95">
        <f>dados_01!B552</f>
        <v>0</v>
      </c>
      <c r="C552" s="95" t="str">
        <f>IFERROR(__xludf.DUMMYFUNCTION("JOIN("". "", ARRAYFORMULA(IFERROR(LEFT(SPLIT(dados_01!C552, "" ""), 1))))"),"")</f>
        <v/>
      </c>
      <c r="D552" s="95">
        <f>dados_01!D552</f>
        <v>0</v>
      </c>
      <c r="E552" s="95" t="str">
        <f>CONCATENATE(LEFT(dados_01!E552,3),REPT("*",6),RIGHT(dados_01!E552,2))</f>
        <v>******</v>
      </c>
      <c r="F552" s="95">
        <f>dados_01!F552</f>
        <v>0</v>
      </c>
      <c r="G552" s="95">
        <f>dados_01!G552</f>
        <v>0</v>
      </c>
      <c r="H552" s="95">
        <f>dados_01!H552</f>
        <v>0</v>
      </c>
      <c r="I552" s="95">
        <f>dados_01!I552</f>
        <v>0</v>
      </c>
      <c r="J552" s="95"/>
      <c r="K552" s="95"/>
      <c r="L552" s="95"/>
      <c r="M552" s="95"/>
      <c r="N552" s="95"/>
      <c r="O552" s="95"/>
      <c r="P552" s="95"/>
      <c r="Q552" s="95"/>
      <c r="R552" s="95"/>
      <c r="S552" s="95"/>
      <c r="T552" s="95"/>
      <c r="U552" s="95"/>
      <c r="V552" s="95"/>
      <c r="W552" s="95"/>
      <c r="X552" s="95"/>
      <c r="Y552" s="95"/>
      <c r="Z552" s="95"/>
    </row>
    <row r="553" ht="15.75" customHeight="1" spans="1:26">
      <c r="A553" s="95">
        <f>dados_01!A553</f>
        <v>0</v>
      </c>
      <c r="B553" s="95">
        <f>dados_01!B553</f>
        <v>0</v>
      </c>
      <c r="C553" s="95" t="str">
        <f>IFERROR(__xludf.DUMMYFUNCTION("JOIN("". "", ARRAYFORMULA(IFERROR(LEFT(SPLIT(dados_01!C553, "" ""), 1))))"),"")</f>
        <v/>
      </c>
      <c r="D553" s="95">
        <f>dados_01!D553</f>
        <v>0</v>
      </c>
      <c r="E553" s="95" t="str">
        <f>CONCATENATE(LEFT(dados_01!E553,3),REPT("*",6),RIGHT(dados_01!E553,2))</f>
        <v>******</v>
      </c>
      <c r="F553" s="95">
        <f>dados_01!F553</f>
        <v>0</v>
      </c>
      <c r="G553" s="95">
        <f>dados_01!G553</f>
        <v>0</v>
      </c>
      <c r="H553" s="95">
        <f>dados_01!H553</f>
        <v>0</v>
      </c>
      <c r="I553" s="95">
        <f>dados_01!I553</f>
        <v>0</v>
      </c>
      <c r="J553" s="95"/>
      <c r="K553" s="95"/>
      <c r="L553" s="95"/>
      <c r="M553" s="95"/>
      <c r="N553" s="95"/>
      <c r="O553" s="95"/>
      <c r="P553" s="95"/>
      <c r="Q553" s="95"/>
      <c r="R553" s="95"/>
      <c r="S553" s="95"/>
      <c r="T553" s="95"/>
      <c r="U553" s="95"/>
      <c r="V553" s="95"/>
      <c r="W553" s="95"/>
      <c r="X553" s="95"/>
      <c r="Y553" s="95"/>
      <c r="Z553" s="95"/>
    </row>
    <row r="554" ht="15.75" customHeight="1" spans="1:26">
      <c r="A554" s="95">
        <f>dados_01!A554</f>
        <v>0</v>
      </c>
      <c r="B554" s="95">
        <f>dados_01!B554</f>
        <v>0</v>
      </c>
      <c r="C554" s="95" t="str">
        <f>IFERROR(__xludf.DUMMYFUNCTION("JOIN("". "", ARRAYFORMULA(IFERROR(LEFT(SPLIT(dados_01!C554, "" ""), 1))))"),"")</f>
        <v/>
      </c>
      <c r="D554" s="95">
        <f>dados_01!D554</f>
        <v>0</v>
      </c>
      <c r="E554" s="95" t="str">
        <f>CONCATENATE(LEFT(dados_01!E554,3),REPT("*",6),RIGHT(dados_01!E554,2))</f>
        <v>******</v>
      </c>
      <c r="F554" s="95">
        <f>dados_01!F554</f>
        <v>0</v>
      </c>
      <c r="G554" s="95">
        <f>dados_01!G554</f>
        <v>0</v>
      </c>
      <c r="H554" s="95">
        <f>dados_01!H554</f>
        <v>0</v>
      </c>
      <c r="I554" s="95">
        <f>dados_01!I554</f>
        <v>0</v>
      </c>
      <c r="J554" s="95"/>
      <c r="K554" s="95"/>
      <c r="L554" s="95"/>
      <c r="M554" s="95"/>
      <c r="N554" s="95"/>
      <c r="O554" s="95"/>
      <c r="P554" s="95"/>
      <c r="Q554" s="95"/>
      <c r="R554" s="95"/>
      <c r="S554" s="95"/>
      <c r="T554" s="95"/>
      <c r="U554" s="95"/>
      <c r="V554" s="95"/>
      <c r="W554" s="95"/>
      <c r="X554" s="95"/>
      <c r="Y554" s="95"/>
      <c r="Z554" s="95"/>
    </row>
    <row r="555" ht="15.75" customHeight="1" spans="1:26">
      <c r="A555" s="95">
        <f>dados_01!A555</f>
        <v>0</v>
      </c>
      <c r="B555" s="95">
        <f>dados_01!B555</f>
        <v>0</v>
      </c>
      <c r="C555" s="95" t="str">
        <f>IFERROR(__xludf.DUMMYFUNCTION("JOIN("". "", ARRAYFORMULA(IFERROR(LEFT(SPLIT(dados_01!C555, "" ""), 1))))"),"")</f>
        <v/>
      </c>
      <c r="D555" s="95">
        <f>dados_01!D555</f>
        <v>0</v>
      </c>
      <c r="E555" s="95" t="str">
        <f>CONCATENATE(LEFT(dados_01!E555,3),REPT("*",6),RIGHT(dados_01!E555,2))</f>
        <v>******</v>
      </c>
      <c r="F555" s="95">
        <f>dados_01!F555</f>
        <v>0</v>
      </c>
      <c r="G555" s="95">
        <f>dados_01!G555</f>
        <v>0</v>
      </c>
      <c r="H555" s="95">
        <f>dados_01!H555</f>
        <v>0</v>
      </c>
      <c r="I555" s="95">
        <f>dados_01!I555</f>
        <v>0</v>
      </c>
      <c r="J555" s="95"/>
      <c r="K555" s="95"/>
      <c r="L555" s="95"/>
      <c r="M555" s="95"/>
      <c r="N555" s="95"/>
      <c r="O555" s="95"/>
      <c r="P555" s="95"/>
      <c r="Q555" s="95"/>
      <c r="R555" s="95"/>
      <c r="S555" s="95"/>
      <c r="T555" s="95"/>
      <c r="U555" s="95"/>
      <c r="V555" s="95"/>
      <c r="W555" s="95"/>
      <c r="X555" s="95"/>
      <c r="Y555" s="95"/>
      <c r="Z555" s="95"/>
    </row>
    <row r="556" ht="15.75" customHeight="1" spans="1:26">
      <c r="A556" s="95">
        <f>dados_01!A556</f>
        <v>0</v>
      </c>
      <c r="B556" s="95">
        <f>dados_01!B556</f>
        <v>0</v>
      </c>
      <c r="C556" s="95" t="str">
        <f>IFERROR(__xludf.DUMMYFUNCTION("JOIN("". "", ARRAYFORMULA(IFERROR(LEFT(SPLIT(dados_01!C556, "" ""), 1))))"),"")</f>
        <v/>
      </c>
      <c r="D556" s="95">
        <f>dados_01!D556</f>
        <v>0</v>
      </c>
      <c r="E556" s="95" t="str">
        <f>CONCATENATE(LEFT(dados_01!E556,3),REPT("*",6),RIGHT(dados_01!E556,2))</f>
        <v>******</v>
      </c>
      <c r="F556" s="95">
        <f>dados_01!F556</f>
        <v>0</v>
      </c>
      <c r="G556" s="95">
        <f>dados_01!G556</f>
        <v>0</v>
      </c>
      <c r="H556" s="95">
        <f>dados_01!H556</f>
        <v>0</v>
      </c>
      <c r="I556" s="95">
        <f>dados_01!I556</f>
        <v>0</v>
      </c>
      <c r="J556" s="95"/>
      <c r="K556" s="95"/>
      <c r="L556" s="95"/>
      <c r="M556" s="95"/>
      <c r="N556" s="95"/>
      <c r="O556" s="95"/>
      <c r="P556" s="95"/>
      <c r="Q556" s="95"/>
      <c r="R556" s="95"/>
      <c r="S556" s="95"/>
      <c r="T556" s="95"/>
      <c r="U556" s="95"/>
      <c r="V556" s="95"/>
      <c r="W556" s="95"/>
      <c r="X556" s="95"/>
      <c r="Y556" s="95"/>
      <c r="Z556" s="95"/>
    </row>
    <row r="557" ht="15.75" customHeight="1" spans="1:26">
      <c r="A557" s="95">
        <f>dados_01!A557</f>
        <v>0</v>
      </c>
      <c r="B557" s="95">
        <f>dados_01!B557</f>
        <v>0</v>
      </c>
      <c r="C557" s="95" t="str">
        <f>IFERROR(__xludf.DUMMYFUNCTION("JOIN("". "", ARRAYFORMULA(IFERROR(LEFT(SPLIT(dados_01!C557, "" ""), 1))))"),"")</f>
        <v/>
      </c>
      <c r="D557" s="95">
        <f>dados_01!D557</f>
        <v>0</v>
      </c>
      <c r="E557" s="95" t="str">
        <f>CONCATENATE(LEFT(dados_01!E557,3),REPT("*",6),RIGHT(dados_01!E557,2))</f>
        <v>******</v>
      </c>
      <c r="F557" s="95">
        <f>dados_01!F557</f>
        <v>0</v>
      </c>
      <c r="G557" s="95">
        <f>dados_01!G557</f>
        <v>0</v>
      </c>
      <c r="H557" s="95">
        <f>dados_01!H557</f>
        <v>0</v>
      </c>
      <c r="I557" s="95">
        <f>dados_01!I557</f>
        <v>0</v>
      </c>
      <c r="J557" s="95"/>
      <c r="K557" s="95"/>
      <c r="L557" s="95"/>
      <c r="M557" s="95"/>
      <c r="N557" s="95"/>
      <c r="O557" s="95"/>
      <c r="P557" s="95"/>
      <c r="Q557" s="95"/>
      <c r="R557" s="95"/>
      <c r="S557" s="95"/>
      <c r="T557" s="95"/>
      <c r="U557" s="95"/>
      <c r="V557" s="95"/>
      <c r="W557" s="95"/>
      <c r="X557" s="95"/>
      <c r="Y557" s="95"/>
      <c r="Z557" s="95"/>
    </row>
    <row r="558" ht="15.75" customHeight="1" spans="1:26">
      <c r="A558" s="95">
        <f>dados_01!A558</f>
        <v>0</v>
      </c>
      <c r="B558" s="95">
        <f>dados_01!B558</f>
        <v>0</v>
      </c>
      <c r="C558" s="95" t="str">
        <f>IFERROR(__xludf.DUMMYFUNCTION("JOIN("". "", ARRAYFORMULA(IFERROR(LEFT(SPLIT(dados_01!C558, "" ""), 1))))"),"")</f>
        <v/>
      </c>
      <c r="D558" s="95">
        <f>dados_01!D558</f>
        <v>0</v>
      </c>
      <c r="E558" s="95" t="str">
        <f>CONCATENATE(LEFT(dados_01!E558,3),REPT("*",6),RIGHT(dados_01!E558,2))</f>
        <v>******</v>
      </c>
      <c r="F558" s="95">
        <f>dados_01!F558</f>
        <v>0</v>
      </c>
      <c r="G558" s="95">
        <f>dados_01!G558</f>
        <v>0</v>
      </c>
      <c r="H558" s="95">
        <f>dados_01!H558</f>
        <v>0</v>
      </c>
      <c r="I558" s="95">
        <f>dados_01!I558</f>
        <v>0</v>
      </c>
      <c r="J558" s="95"/>
      <c r="K558" s="95"/>
      <c r="L558" s="95"/>
      <c r="M558" s="95"/>
      <c r="N558" s="95"/>
      <c r="O558" s="95"/>
      <c r="P558" s="95"/>
      <c r="Q558" s="95"/>
      <c r="R558" s="95"/>
      <c r="S558" s="95"/>
      <c r="T558" s="95"/>
      <c r="U558" s="95"/>
      <c r="V558" s="95"/>
      <c r="W558" s="95"/>
      <c r="X558" s="95"/>
      <c r="Y558" s="95"/>
      <c r="Z558" s="95"/>
    </row>
    <row r="559" ht="15.75" customHeight="1" spans="1:26">
      <c r="A559" s="95">
        <f>dados_01!A559</f>
        <v>0</v>
      </c>
      <c r="B559" s="95">
        <f>dados_01!B559</f>
        <v>0</v>
      </c>
      <c r="C559" s="95" t="str">
        <f>IFERROR(__xludf.DUMMYFUNCTION("JOIN("". "", ARRAYFORMULA(IFERROR(LEFT(SPLIT(dados_01!C559, "" ""), 1))))"),"")</f>
        <v/>
      </c>
      <c r="D559" s="95">
        <f>dados_01!D559</f>
        <v>0</v>
      </c>
      <c r="E559" s="95" t="str">
        <f>CONCATENATE(LEFT(dados_01!E559,3),REPT("*",6),RIGHT(dados_01!E559,2))</f>
        <v>******</v>
      </c>
      <c r="F559" s="95">
        <f>dados_01!F559</f>
        <v>0</v>
      </c>
      <c r="G559" s="95">
        <f>dados_01!G559</f>
        <v>0</v>
      </c>
      <c r="H559" s="95">
        <f>dados_01!H559</f>
        <v>0</v>
      </c>
      <c r="I559" s="95">
        <f>dados_01!I559</f>
        <v>0</v>
      </c>
      <c r="J559" s="95"/>
      <c r="K559" s="95"/>
      <c r="L559" s="95"/>
      <c r="M559" s="95"/>
      <c r="N559" s="95"/>
      <c r="O559" s="95"/>
      <c r="P559" s="95"/>
      <c r="Q559" s="95"/>
      <c r="R559" s="95"/>
      <c r="S559" s="95"/>
      <c r="T559" s="95"/>
      <c r="U559" s="95"/>
      <c r="V559" s="95"/>
      <c r="W559" s="95"/>
      <c r="X559" s="95"/>
      <c r="Y559" s="95"/>
      <c r="Z559" s="95"/>
    </row>
    <row r="560" ht="15.75" customHeight="1" spans="1:26">
      <c r="A560" s="95">
        <f>dados_01!A560</f>
        <v>0</v>
      </c>
      <c r="B560" s="95">
        <f>dados_01!B560</f>
        <v>0</v>
      </c>
      <c r="C560" s="95" t="str">
        <f>IFERROR(__xludf.DUMMYFUNCTION("JOIN("". "", ARRAYFORMULA(IFERROR(LEFT(SPLIT(dados_01!C560, "" ""), 1))))"),"")</f>
        <v/>
      </c>
      <c r="D560" s="95">
        <f>dados_01!D560</f>
        <v>0</v>
      </c>
      <c r="E560" s="95" t="str">
        <f>CONCATENATE(LEFT(dados_01!E560,3),REPT("*",6),RIGHT(dados_01!E560,2))</f>
        <v>******</v>
      </c>
      <c r="F560" s="95">
        <f>dados_01!F560</f>
        <v>0</v>
      </c>
      <c r="G560" s="95">
        <f>dados_01!G560</f>
        <v>0</v>
      </c>
      <c r="H560" s="95">
        <f>dados_01!H560</f>
        <v>0</v>
      </c>
      <c r="I560" s="95">
        <f>dados_01!I560</f>
        <v>0</v>
      </c>
      <c r="J560" s="95"/>
      <c r="K560" s="95"/>
      <c r="L560" s="95"/>
      <c r="M560" s="95"/>
      <c r="N560" s="95"/>
      <c r="O560" s="95"/>
      <c r="P560" s="95"/>
      <c r="Q560" s="95"/>
      <c r="R560" s="95"/>
      <c r="S560" s="95"/>
      <c r="T560" s="95"/>
      <c r="U560" s="95"/>
      <c r="V560" s="95"/>
      <c r="W560" s="95"/>
      <c r="X560" s="95"/>
      <c r="Y560" s="95"/>
      <c r="Z560" s="95"/>
    </row>
    <row r="561" ht="15.75" customHeight="1" spans="1:26">
      <c r="A561" s="95">
        <f>dados_01!A561</f>
        <v>0</v>
      </c>
      <c r="B561" s="95">
        <f>dados_01!B561</f>
        <v>0</v>
      </c>
      <c r="C561" s="95" t="str">
        <f>IFERROR(__xludf.DUMMYFUNCTION("JOIN("". "", ARRAYFORMULA(IFERROR(LEFT(SPLIT(dados_01!C561, "" ""), 1))))"),"")</f>
        <v/>
      </c>
      <c r="D561" s="95">
        <f>dados_01!D561</f>
        <v>0</v>
      </c>
      <c r="E561" s="95" t="str">
        <f>CONCATENATE(LEFT(dados_01!E561,3),REPT("*",6),RIGHT(dados_01!E561,2))</f>
        <v>******</v>
      </c>
      <c r="F561" s="95">
        <f>dados_01!F561</f>
        <v>0</v>
      </c>
      <c r="G561" s="95">
        <f>dados_01!G561</f>
        <v>0</v>
      </c>
      <c r="H561" s="95">
        <f>dados_01!H561</f>
        <v>0</v>
      </c>
      <c r="I561" s="95">
        <f>dados_01!I561</f>
        <v>0</v>
      </c>
      <c r="J561" s="95"/>
      <c r="K561" s="95"/>
      <c r="L561" s="95"/>
      <c r="M561" s="95"/>
      <c r="N561" s="95"/>
      <c r="O561" s="95"/>
      <c r="P561" s="95"/>
      <c r="Q561" s="95"/>
      <c r="R561" s="95"/>
      <c r="S561" s="95"/>
      <c r="T561" s="95"/>
      <c r="U561" s="95"/>
      <c r="V561" s="95"/>
      <c r="W561" s="95"/>
      <c r="X561" s="95"/>
      <c r="Y561" s="95"/>
      <c r="Z561" s="95"/>
    </row>
    <row r="562" ht="15.75" customHeight="1" spans="1:26">
      <c r="A562" s="95">
        <f>dados_01!A562</f>
        <v>0</v>
      </c>
      <c r="B562" s="95">
        <f>dados_01!B562</f>
        <v>0</v>
      </c>
      <c r="C562" s="95" t="str">
        <f>IFERROR(__xludf.DUMMYFUNCTION("JOIN("". "", ARRAYFORMULA(IFERROR(LEFT(SPLIT(dados_01!C562, "" ""), 1))))"),"")</f>
        <v/>
      </c>
      <c r="D562" s="95">
        <f>dados_01!D562</f>
        <v>0</v>
      </c>
      <c r="E562" s="95" t="str">
        <f>CONCATENATE(LEFT(dados_01!E562,3),REPT("*",6),RIGHT(dados_01!E562,2))</f>
        <v>******</v>
      </c>
      <c r="F562" s="95">
        <f>dados_01!F562</f>
        <v>0</v>
      </c>
      <c r="G562" s="95">
        <f>dados_01!G562</f>
        <v>0</v>
      </c>
      <c r="H562" s="95">
        <f>dados_01!H562</f>
        <v>0</v>
      </c>
      <c r="I562" s="95">
        <f>dados_01!I562</f>
        <v>0</v>
      </c>
      <c r="J562" s="95"/>
      <c r="K562" s="95"/>
      <c r="L562" s="95"/>
      <c r="M562" s="95"/>
      <c r="N562" s="95"/>
      <c r="O562" s="95"/>
      <c r="P562" s="95"/>
      <c r="Q562" s="95"/>
      <c r="R562" s="95"/>
      <c r="S562" s="95"/>
      <c r="T562" s="95"/>
      <c r="U562" s="95"/>
      <c r="V562" s="95"/>
      <c r="W562" s="95"/>
      <c r="X562" s="95"/>
      <c r="Y562" s="95"/>
      <c r="Z562" s="95"/>
    </row>
    <row r="563" ht="15.75" customHeight="1" spans="1:26">
      <c r="A563" s="95">
        <f>dados_01!A563</f>
        <v>0</v>
      </c>
      <c r="B563" s="95">
        <f>dados_01!B563</f>
        <v>0</v>
      </c>
      <c r="C563" s="95" t="str">
        <f>IFERROR(__xludf.DUMMYFUNCTION("JOIN("". "", ARRAYFORMULA(IFERROR(LEFT(SPLIT(dados_01!C563, "" ""), 1))))"),"")</f>
        <v/>
      </c>
      <c r="D563" s="95">
        <f>dados_01!D563</f>
        <v>0</v>
      </c>
      <c r="E563" s="95" t="str">
        <f>CONCATENATE(LEFT(dados_01!E563,3),REPT("*",6),RIGHT(dados_01!E563,2))</f>
        <v>******</v>
      </c>
      <c r="F563" s="95">
        <f>dados_01!F563</f>
        <v>0</v>
      </c>
      <c r="G563" s="95">
        <f>dados_01!G563</f>
        <v>0</v>
      </c>
      <c r="H563" s="95">
        <f>dados_01!H563</f>
        <v>0</v>
      </c>
      <c r="I563" s="95">
        <f>dados_01!I563</f>
        <v>0</v>
      </c>
      <c r="J563" s="95"/>
      <c r="K563" s="95"/>
      <c r="L563" s="95"/>
      <c r="M563" s="95"/>
      <c r="N563" s="95"/>
      <c r="O563" s="95"/>
      <c r="P563" s="95"/>
      <c r="Q563" s="95"/>
      <c r="R563" s="95"/>
      <c r="S563" s="95"/>
      <c r="T563" s="95"/>
      <c r="U563" s="95"/>
      <c r="V563" s="95"/>
      <c r="W563" s="95"/>
      <c r="X563" s="95"/>
      <c r="Y563" s="95"/>
      <c r="Z563" s="95"/>
    </row>
    <row r="564" ht="15.75" customHeight="1" spans="1:26">
      <c r="A564" s="95">
        <f>dados_01!A564</f>
        <v>0</v>
      </c>
      <c r="B564" s="95">
        <f>dados_01!B564</f>
        <v>0</v>
      </c>
      <c r="C564" s="95" t="str">
        <f>IFERROR(__xludf.DUMMYFUNCTION("JOIN("". "", ARRAYFORMULA(IFERROR(LEFT(SPLIT(dados_01!C564, "" ""), 1))))"),"")</f>
        <v/>
      </c>
      <c r="D564" s="95">
        <f>dados_01!D564</f>
        <v>0</v>
      </c>
      <c r="E564" s="95" t="str">
        <f>CONCATENATE(LEFT(dados_01!E564,3),REPT("*",6),RIGHT(dados_01!E564,2))</f>
        <v>******</v>
      </c>
      <c r="F564" s="95">
        <f>dados_01!F564</f>
        <v>0</v>
      </c>
      <c r="G564" s="95">
        <f>dados_01!G564</f>
        <v>0</v>
      </c>
      <c r="H564" s="95">
        <f>dados_01!H564</f>
        <v>0</v>
      </c>
      <c r="I564" s="95">
        <f>dados_01!I564</f>
        <v>0</v>
      </c>
      <c r="J564" s="95"/>
      <c r="K564" s="95"/>
      <c r="L564" s="95"/>
      <c r="M564" s="95"/>
      <c r="N564" s="95"/>
      <c r="O564" s="95"/>
      <c r="P564" s="95"/>
      <c r="Q564" s="95"/>
      <c r="R564" s="95"/>
      <c r="S564" s="95"/>
      <c r="T564" s="95"/>
      <c r="U564" s="95"/>
      <c r="V564" s="95"/>
      <c r="W564" s="95"/>
      <c r="X564" s="95"/>
      <c r="Y564" s="95"/>
      <c r="Z564" s="95"/>
    </row>
    <row r="565" ht="15.75" customHeight="1" spans="1:26">
      <c r="A565" s="95">
        <f>dados_01!A565</f>
        <v>0</v>
      </c>
      <c r="B565" s="95">
        <f>dados_01!B565</f>
        <v>0</v>
      </c>
      <c r="C565" s="95" t="str">
        <f>IFERROR(__xludf.DUMMYFUNCTION("JOIN("". "", ARRAYFORMULA(IFERROR(LEFT(SPLIT(dados_01!C565, "" ""), 1))))"),"")</f>
        <v/>
      </c>
      <c r="D565" s="95">
        <f>dados_01!D565</f>
        <v>0</v>
      </c>
      <c r="E565" s="95" t="str">
        <f>CONCATENATE(LEFT(dados_01!E565,3),REPT("*",6),RIGHT(dados_01!E565,2))</f>
        <v>******</v>
      </c>
      <c r="F565" s="95">
        <f>dados_01!F565</f>
        <v>0</v>
      </c>
      <c r="G565" s="95">
        <f>dados_01!G565</f>
        <v>0</v>
      </c>
      <c r="H565" s="95">
        <f>dados_01!H565</f>
        <v>0</v>
      </c>
      <c r="I565" s="95">
        <f>dados_01!I565</f>
        <v>0</v>
      </c>
      <c r="J565" s="95"/>
      <c r="K565" s="95"/>
      <c r="L565" s="95"/>
      <c r="M565" s="95"/>
      <c r="N565" s="95"/>
      <c r="O565" s="95"/>
      <c r="P565" s="95"/>
      <c r="Q565" s="95"/>
      <c r="R565" s="95"/>
      <c r="S565" s="95"/>
      <c r="T565" s="95"/>
      <c r="U565" s="95"/>
      <c r="V565" s="95"/>
      <c r="W565" s="95"/>
      <c r="X565" s="95"/>
      <c r="Y565" s="95"/>
      <c r="Z565" s="95"/>
    </row>
    <row r="566" ht="15.75" customHeight="1" spans="1:26">
      <c r="A566" s="95">
        <f>dados_01!A566</f>
        <v>0</v>
      </c>
      <c r="B566" s="95">
        <f>dados_01!B566</f>
        <v>0</v>
      </c>
      <c r="C566" s="95" t="str">
        <f>IFERROR(__xludf.DUMMYFUNCTION("JOIN("". "", ARRAYFORMULA(IFERROR(LEFT(SPLIT(dados_01!C566, "" ""), 1))))"),"")</f>
        <v/>
      </c>
      <c r="D566" s="95">
        <f>dados_01!D566</f>
        <v>0</v>
      </c>
      <c r="E566" s="95" t="str">
        <f>CONCATENATE(LEFT(dados_01!E566,3),REPT("*",6),RIGHT(dados_01!E566,2))</f>
        <v>******</v>
      </c>
      <c r="F566" s="95">
        <f>dados_01!F566</f>
        <v>0</v>
      </c>
      <c r="G566" s="95">
        <f>dados_01!G566</f>
        <v>0</v>
      </c>
      <c r="H566" s="95">
        <f>dados_01!H566</f>
        <v>0</v>
      </c>
      <c r="I566" s="95">
        <f>dados_01!I566</f>
        <v>0</v>
      </c>
      <c r="J566" s="95"/>
      <c r="K566" s="95"/>
      <c r="L566" s="95"/>
      <c r="M566" s="95"/>
      <c r="N566" s="95"/>
      <c r="O566" s="95"/>
      <c r="P566" s="95"/>
      <c r="Q566" s="95"/>
      <c r="R566" s="95"/>
      <c r="S566" s="95"/>
      <c r="T566" s="95"/>
      <c r="U566" s="95"/>
      <c r="V566" s="95"/>
      <c r="W566" s="95"/>
      <c r="X566" s="95"/>
      <c r="Y566" s="95"/>
      <c r="Z566" s="95"/>
    </row>
    <row r="567" ht="15.75" customHeight="1" spans="1:26">
      <c r="A567" s="95">
        <f>dados_01!A567</f>
        <v>0</v>
      </c>
      <c r="B567" s="95">
        <f>dados_01!B567</f>
        <v>0</v>
      </c>
      <c r="C567" s="95" t="str">
        <f>IFERROR(__xludf.DUMMYFUNCTION("JOIN("". "", ARRAYFORMULA(IFERROR(LEFT(SPLIT(dados_01!C567, "" ""), 1))))"),"")</f>
        <v/>
      </c>
      <c r="D567" s="95">
        <f>dados_01!D567</f>
        <v>0</v>
      </c>
      <c r="E567" s="95" t="str">
        <f>CONCATENATE(LEFT(dados_01!E567,3),REPT("*",6),RIGHT(dados_01!E567,2))</f>
        <v>******</v>
      </c>
      <c r="F567" s="95">
        <f>dados_01!F567</f>
        <v>0</v>
      </c>
      <c r="G567" s="95">
        <f>dados_01!G567</f>
        <v>0</v>
      </c>
      <c r="H567" s="95">
        <f>dados_01!H567</f>
        <v>0</v>
      </c>
      <c r="I567" s="95">
        <f>dados_01!I567</f>
        <v>0</v>
      </c>
      <c r="J567" s="95"/>
      <c r="K567" s="95"/>
      <c r="L567" s="95"/>
      <c r="M567" s="95"/>
      <c r="N567" s="95"/>
      <c r="O567" s="95"/>
      <c r="P567" s="95"/>
      <c r="Q567" s="95"/>
      <c r="R567" s="95"/>
      <c r="S567" s="95"/>
      <c r="T567" s="95"/>
      <c r="U567" s="95"/>
      <c r="V567" s="95"/>
      <c r="W567" s="95"/>
      <c r="X567" s="95"/>
      <c r="Y567" s="95"/>
      <c r="Z567" s="95"/>
    </row>
    <row r="568" ht="15.75" customHeight="1" spans="1:26">
      <c r="A568" s="95">
        <f>dados_01!A568</f>
        <v>0</v>
      </c>
      <c r="B568" s="95">
        <f>dados_01!B568</f>
        <v>0</v>
      </c>
      <c r="C568" s="95" t="str">
        <f>IFERROR(__xludf.DUMMYFUNCTION("JOIN("". "", ARRAYFORMULA(IFERROR(LEFT(SPLIT(dados_01!C568, "" ""), 1))))"),"")</f>
        <v/>
      </c>
      <c r="D568" s="95">
        <f>dados_01!D568</f>
        <v>0</v>
      </c>
      <c r="E568" s="95" t="str">
        <f>CONCATENATE(LEFT(dados_01!E568,3),REPT("*",6),RIGHT(dados_01!E568,2))</f>
        <v>******</v>
      </c>
      <c r="F568" s="95">
        <f>dados_01!F568</f>
        <v>0</v>
      </c>
      <c r="G568" s="95">
        <f>dados_01!G568</f>
        <v>0</v>
      </c>
      <c r="H568" s="95">
        <f>dados_01!H568</f>
        <v>0</v>
      </c>
      <c r="I568" s="95">
        <f>dados_01!I568</f>
        <v>0</v>
      </c>
      <c r="J568" s="95"/>
      <c r="K568" s="95"/>
      <c r="L568" s="95"/>
      <c r="M568" s="95"/>
      <c r="N568" s="95"/>
      <c r="O568" s="95"/>
      <c r="P568" s="95"/>
      <c r="Q568" s="95"/>
      <c r="R568" s="95"/>
      <c r="S568" s="95"/>
      <c r="T568" s="95"/>
      <c r="U568" s="95"/>
      <c r="V568" s="95"/>
      <c r="W568" s="95"/>
      <c r="X568" s="95"/>
      <c r="Y568" s="95"/>
      <c r="Z568" s="95"/>
    </row>
    <row r="569" ht="15.75" customHeight="1" spans="1:26">
      <c r="A569" s="95">
        <f>dados_01!A569</f>
        <v>0</v>
      </c>
      <c r="B569" s="95">
        <f>dados_01!B569</f>
        <v>0</v>
      </c>
      <c r="C569" s="95" t="str">
        <f>IFERROR(__xludf.DUMMYFUNCTION("JOIN("". "", ARRAYFORMULA(IFERROR(LEFT(SPLIT(dados_01!C569, "" ""), 1))))"),"")</f>
        <v/>
      </c>
      <c r="D569" s="95">
        <f>dados_01!D569</f>
        <v>0</v>
      </c>
      <c r="E569" s="95" t="str">
        <f>CONCATENATE(LEFT(dados_01!E569,3),REPT("*",6),RIGHT(dados_01!E569,2))</f>
        <v>******</v>
      </c>
      <c r="F569" s="95">
        <f>dados_01!F569</f>
        <v>0</v>
      </c>
      <c r="G569" s="95">
        <f>dados_01!G569</f>
        <v>0</v>
      </c>
      <c r="H569" s="95">
        <f>dados_01!H569</f>
        <v>0</v>
      </c>
      <c r="I569" s="95">
        <f>dados_01!I569</f>
        <v>0</v>
      </c>
      <c r="J569" s="95"/>
      <c r="K569" s="95"/>
      <c r="L569" s="95"/>
      <c r="M569" s="95"/>
      <c r="N569" s="95"/>
      <c r="O569" s="95"/>
      <c r="P569" s="95"/>
      <c r="Q569" s="95"/>
      <c r="R569" s="95"/>
      <c r="S569" s="95"/>
      <c r="T569" s="95"/>
      <c r="U569" s="95"/>
      <c r="V569" s="95"/>
      <c r="W569" s="95"/>
      <c r="X569" s="95"/>
      <c r="Y569" s="95"/>
      <c r="Z569" s="95"/>
    </row>
    <row r="570" ht="15.75" customHeight="1" spans="1:26">
      <c r="A570" s="95">
        <f>dados_01!A570</f>
        <v>0</v>
      </c>
      <c r="B570" s="95">
        <f>dados_01!B570</f>
        <v>0</v>
      </c>
      <c r="C570" s="95" t="str">
        <f>IFERROR(__xludf.DUMMYFUNCTION("JOIN("". "", ARRAYFORMULA(IFERROR(LEFT(SPLIT(dados_01!C570, "" ""), 1))))"),"")</f>
        <v/>
      </c>
      <c r="D570" s="95">
        <f>dados_01!D570</f>
        <v>0</v>
      </c>
      <c r="E570" s="95" t="str">
        <f>CONCATENATE(LEFT(dados_01!E570,3),REPT("*",6),RIGHT(dados_01!E570,2))</f>
        <v>******</v>
      </c>
      <c r="F570" s="95">
        <f>dados_01!F570</f>
        <v>0</v>
      </c>
      <c r="G570" s="95">
        <f>dados_01!G570</f>
        <v>0</v>
      </c>
      <c r="H570" s="95">
        <f>dados_01!H570</f>
        <v>0</v>
      </c>
      <c r="I570" s="95">
        <f>dados_01!I570</f>
        <v>0</v>
      </c>
      <c r="J570" s="95"/>
      <c r="K570" s="95"/>
      <c r="L570" s="95"/>
      <c r="M570" s="95"/>
      <c r="N570" s="95"/>
      <c r="O570" s="95"/>
      <c r="P570" s="95"/>
      <c r="Q570" s="95"/>
      <c r="R570" s="95"/>
      <c r="S570" s="95"/>
      <c r="T570" s="95"/>
      <c r="U570" s="95"/>
      <c r="V570" s="95"/>
      <c r="W570" s="95"/>
      <c r="X570" s="95"/>
      <c r="Y570" s="95"/>
      <c r="Z570" s="95"/>
    </row>
    <row r="571" ht="15.75" customHeight="1" spans="1:26">
      <c r="A571" s="95">
        <f>dados_01!A571</f>
        <v>0</v>
      </c>
      <c r="B571" s="95">
        <f>dados_01!B571</f>
        <v>0</v>
      </c>
      <c r="C571" s="95" t="str">
        <f>IFERROR(__xludf.DUMMYFUNCTION("JOIN("". "", ARRAYFORMULA(IFERROR(LEFT(SPLIT(dados_01!C571, "" ""), 1))))"),"")</f>
        <v/>
      </c>
      <c r="D571" s="95">
        <f>dados_01!D571</f>
        <v>0</v>
      </c>
      <c r="E571" s="95" t="str">
        <f>CONCATENATE(LEFT(dados_01!E571,3),REPT("*",6),RIGHT(dados_01!E571,2))</f>
        <v>******</v>
      </c>
      <c r="F571" s="95">
        <f>dados_01!F571</f>
        <v>0</v>
      </c>
      <c r="G571" s="95">
        <f>dados_01!G571</f>
        <v>0</v>
      </c>
      <c r="H571" s="95">
        <f>dados_01!H571</f>
        <v>0</v>
      </c>
      <c r="I571" s="95">
        <f>dados_01!I571</f>
        <v>0</v>
      </c>
      <c r="J571" s="95"/>
      <c r="K571" s="95"/>
      <c r="L571" s="95"/>
      <c r="M571" s="95"/>
      <c r="N571" s="95"/>
      <c r="O571" s="95"/>
      <c r="P571" s="95"/>
      <c r="Q571" s="95"/>
      <c r="R571" s="95"/>
      <c r="S571" s="95"/>
      <c r="T571" s="95"/>
      <c r="U571" s="95"/>
      <c r="V571" s="95"/>
      <c r="W571" s="95"/>
      <c r="X571" s="95"/>
      <c r="Y571" s="95"/>
      <c r="Z571" s="95"/>
    </row>
    <row r="572" ht="15.75" customHeight="1" spans="1:26">
      <c r="A572" s="95">
        <f>dados_01!A572</f>
        <v>0</v>
      </c>
      <c r="B572" s="95">
        <f>dados_01!B572</f>
        <v>0</v>
      </c>
      <c r="C572" s="95" t="str">
        <f>IFERROR(__xludf.DUMMYFUNCTION("JOIN("". "", ARRAYFORMULA(IFERROR(LEFT(SPLIT(dados_01!C572, "" ""), 1))))"),"")</f>
        <v/>
      </c>
      <c r="D572" s="95">
        <f>dados_01!D572</f>
        <v>0</v>
      </c>
      <c r="E572" s="95" t="str">
        <f>CONCATENATE(LEFT(dados_01!E572,3),REPT("*",6),RIGHT(dados_01!E572,2))</f>
        <v>******</v>
      </c>
      <c r="F572" s="95">
        <f>dados_01!F572</f>
        <v>0</v>
      </c>
      <c r="G572" s="95">
        <f>dados_01!G572</f>
        <v>0</v>
      </c>
      <c r="H572" s="95">
        <f>dados_01!H572</f>
        <v>0</v>
      </c>
      <c r="I572" s="95">
        <f>dados_01!I572</f>
        <v>0</v>
      </c>
      <c r="J572" s="95"/>
      <c r="K572" s="95"/>
      <c r="L572" s="95"/>
      <c r="M572" s="95"/>
      <c r="N572" s="95"/>
      <c r="O572" s="95"/>
      <c r="P572" s="95"/>
      <c r="Q572" s="95"/>
      <c r="R572" s="95"/>
      <c r="S572" s="95"/>
      <c r="T572" s="95"/>
      <c r="U572" s="95"/>
      <c r="V572" s="95"/>
      <c r="W572" s="95"/>
      <c r="X572" s="95"/>
      <c r="Y572" s="95"/>
      <c r="Z572" s="95"/>
    </row>
    <row r="573" ht="15.75" customHeight="1" spans="1:26">
      <c r="A573" s="95">
        <f>dados_01!A573</f>
        <v>0</v>
      </c>
      <c r="B573" s="95">
        <f>dados_01!B573</f>
        <v>0</v>
      </c>
      <c r="C573" s="95" t="str">
        <f>IFERROR(__xludf.DUMMYFUNCTION("JOIN("". "", ARRAYFORMULA(IFERROR(LEFT(SPLIT(dados_01!C573, "" ""), 1))))"),"")</f>
        <v/>
      </c>
      <c r="D573" s="95">
        <f>dados_01!D573</f>
        <v>0</v>
      </c>
      <c r="E573" s="95" t="str">
        <f>CONCATENATE(LEFT(dados_01!E573,3),REPT("*",6),RIGHT(dados_01!E573,2))</f>
        <v>******</v>
      </c>
      <c r="F573" s="95">
        <f>dados_01!F573</f>
        <v>0</v>
      </c>
      <c r="G573" s="95">
        <f>dados_01!G573</f>
        <v>0</v>
      </c>
      <c r="H573" s="95">
        <f>dados_01!H573</f>
        <v>0</v>
      </c>
      <c r="I573" s="95">
        <f>dados_01!I573</f>
        <v>0</v>
      </c>
      <c r="J573" s="95"/>
      <c r="K573" s="95"/>
      <c r="L573" s="95"/>
      <c r="M573" s="95"/>
      <c r="N573" s="95"/>
      <c r="O573" s="95"/>
      <c r="P573" s="95"/>
      <c r="Q573" s="95"/>
      <c r="R573" s="95"/>
      <c r="S573" s="95"/>
      <c r="T573" s="95"/>
      <c r="U573" s="95"/>
      <c r="V573" s="95"/>
      <c r="W573" s="95"/>
      <c r="X573" s="95"/>
      <c r="Y573" s="95"/>
      <c r="Z573" s="95"/>
    </row>
    <row r="574" ht="15.75" customHeight="1" spans="1:26">
      <c r="A574" s="95">
        <f>dados_01!A574</f>
        <v>0</v>
      </c>
      <c r="B574" s="95">
        <f>dados_01!B574</f>
        <v>0</v>
      </c>
      <c r="C574" s="95" t="str">
        <f>IFERROR(__xludf.DUMMYFUNCTION("JOIN("". "", ARRAYFORMULA(IFERROR(LEFT(SPLIT(dados_01!C574, "" ""), 1))))"),"")</f>
        <v/>
      </c>
      <c r="D574" s="95">
        <f>dados_01!D574</f>
        <v>0</v>
      </c>
      <c r="E574" s="95" t="str">
        <f>CONCATENATE(LEFT(dados_01!E574,3),REPT("*",6),RIGHT(dados_01!E574,2))</f>
        <v>******</v>
      </c>
      <c r="F574" s="95">
        <f>dados_01!F574</f>
        <v>0</v>
      </c>
      <c r="G574" s="95">
        <f>dados_01!G574</f>
        <v>0</v>
      </c>
      <c r="H574" s="95">
        <f>dados_01!H574</f>
        <v>0</v>
      </c>
      <c r="I574" s="95">
        <f>dados_01!I574</f>
        <v>0</v>
      </c>
      <c r="J574" s="95"/>
      <c r="K574" s="95"/>
      <c r="L574" s="95"/>
      <c r="M574" s="95"/>
      <c r="N574" s="95"/>
      <c r="O574" s="95"/>
      <c r="P574" s="95"/>
      <c r="Q574" s="95"/>
      <c r="R574" s="95"/>
      <c r="S574" s="95"/>
      <c r="T574" s="95"/>
      <c r="U574" s="95"/>
      <c r="V574" s="95"/>
      <c r="W574" s="95"/>
      <c r="X574" s="95"/>
      <c r="Y574" s="95"/>
      <c r="Z574" s="95"/>
    </row>
    <row r="575" ht="15.75" customHeight="1" spans="1:26">
      <c r="A575" s="95">
        <f>dados_01!A575</f>
        <v>0</v>
      </c>
      <c r="B575" s="95">
        <f>dados_01!B575</f>
        <v>0</v>
      </c>
      <c r="C575" s="95" t="str">
        <f>IFERROR(__xludf.DUMMYFUNCTION("JOIN("". "", ARRAYFORMULA(IFERROR(LEFT(SPLIT(dados_01!C575, "" ""), 1))))"),"")</f>
        <v/>
      </c>
      <c r="D575" s="95">
        <f>dados_01!D575</f>
        <v>0</v>
      </c>
      <c r="E575" s="95" t="str">
        <f>CONCATENATE(LEFT(dados_01!E575,3),REPT("*",6),RIGHT(dados_01!E575,2))</f>
        <v>******</v>
      </c>
      <c r="F575" s="95">
        <f>dados_01!F575</f>
        <v>0</v>
      </c>
      <c r="G575" s="95">
        <f>dados_01!G575</f>
        <v>0</v>
      </c>
      <c r="H575" s="95">
        <f>dados_01!H575</f>
        <v>0</v>
      </c>
      <c r="I575" s="95">
        <f>dados_01!I575</f>
        <v>0</v>
      </c>
      <c r="J575" s="95"/>
      <c r="K575" s="95"/>
      <c r="L575" s="95"/>
      <c r="M575" s="95"/>
      <c r="N575" s="95"/>
      <c r="O575" s="95"/>
      <c r="P575" s="95"/>
      <c r="Q575" s="95"/>
      <c r="R575" s="95"/>
      <c r="S575" s="95"/>
      <c r="T575" s="95"/>
      <c r="U575" s="95"/>
      <c r="V575" s="95"/>
      <c r="W575" s="95"/>
      <c r="X575" s="95"/>
      <c r="Y575" s="95"/>
      <c r="Z575" s="95"/>
    </row>
    <row r="576" ht="15.75" customHeight="1" spans="1:26">
      <c r="A576" s="95">
        <f>dados_01!A576</f>
        <v>0</v>
      </c>
      <c r="B576" s="95">
        <f>dados_01!B576</f>
        <v>0</v>
      </c>
      <c r="C576" s="95" t="str">
        <f>IFERROR(__xludf.DUMMYFUNCTION("JOIN("". "", ARRAYFORMULA(IFERROR(LEFT(SPLIT(dados_01!C576, "" ""), 1))))"),"")</f>
        <v/>
      </c>
      <c r="D576" s="95">
        <f>dados_01!D576</f>
        <v>0</v>
      </c>
      <c r="E576" s="95" t="str">
        <f>CONCATENATE(LEFT(dados_01!E576,3),REPT("*",6),RIGHT(dados_01!E576,2))</f>
        <v>******</v>
      </c>
      <c r="F576" s="95">
        <f>dados_01!F576</f>
        <v>0</v>
      </c>
      <c r="G576" s="95">
        <f>dados_01!G576</f>
        <v>0</v>
      </c>
      <c r="H576" s="95">
        <f>dados_01!H576</f>
        <v>0</v>
      </c>
      <c r="I576" s="95">
        <f>dados_01!I576</f>
        <v>0</v>
      </c>
      <c r="J576" s="95"/>
      <c r="K576" s="95"/>
      <c r="L576" s="95"/>
      <c r="M576" s="95"/>
      <c r="N576" s="95"/>
      <c r="O576" s="95"/>
      <c r="P576" s="95"/>
      <c r="Q576" s="95"/>
      <c r="R576" s="95"/>
      <c r="S576" s="95"/>
      <c r="T576" s="95"/>
      <c r="U576" s="95"/>
      <c r="V576" s="95"/>
      <c r="W576" s="95"/>
      <c r="X576" s="95"/>
      <c r="Y576" s="95"/>
      <c r="Z576" s="95"/>
    </row>
    <row r="577" ht="15.75" customHeight="1" spans="1:26">
      <c r="A577" s="95">
        <f>dados_01!A577</f>
        <v>0</v>
      </c>
      <c r="B577" s="95">
        <f>dados_01!B577</f>
        <v>0</v>
      </c>
      <c r="C577" s="95" t="str">
        <f>IFERROR(__xludf.DUMMYFUNCTION("JOIN("". "", ARRAYFORMULA(IFERROR(LEFT(SPLIT(dados_01!C577, "" ""), 1))))"),"")</f>
        <v/>
      </c>
      <c r="D577" s="95">
        <f>dados_01!D577</f>
        <v>0</v>
      </c>
      <c r="E577" s="95" t="str">
        <f>CONCATENATE(LEFT(dados_01!E577,3),REPT("*",6),RIGHT(dados_01!E577,2))</f>
        <v>******</v>
      </c>
      <c r="F577" s="95">
        <f>dados_01!F577</f>
        <v>0</v>
      </c>
      <c r="G577" s="95">
        <f>dados_01!G577</f>
        <v>0</v>
      </c>
      <c r="H577" s="95">
        <f>dados_01!H577</f>
        <v>0</v>
      </c>
      <c r="I577" s="95">
        <f>dados_01!I577</f>
        <v>0</v>
      </c>
      <c r="J577" s="95"/>
      <c r="K577" s="95"/>
      <c r="L577" s="95"/>
      <c r="M577" s="95"/>
      <c r="N577" s="95"/>
      <c r="O577" s="95"/>
      <c r="P577" s="95"/>
      <c r="Q577" s="95"/>
      <c r="R577" s="95"/>
      <c r="S577" s="95"/>
      <c r="T577" s="95"/>
      <c r="U577" s="95"/>
      <c r="V577" s="95"/>
      <c r="W577" s="95"/>
      <c r="X577" s="95"/>
      <c r="Y577" s="95"/>
      <c r="Z577" s="95"/>
    </row>
    <row r="578" ht="15.75" customHeight="1" spans="1:26">
      <c r="A578" s="95">
        <f>dados_01!A578</f>
        <v>0</v>
      </c>
      <c r="B578" s="95">
        <f>dados_01!B578</f>
        <v>0</v>
      </c>
      <c r="C578" s="95" t="str">
        <f>IFERROR(__xludf.DUMMYFUNCTION("JOIN("". "", ARRAYFORMULA(IFERROR(LEFT(SPLIT(dados_01!C578, "" ""), 1))))"),"")</f>
        <v/>
      </c>
      <c r="D578" s="95">
        <f>dados_01!D578</f>
        <v>0</v>
      </c>
      <c r="E578" s="95" t="str">
        <f>CONCATENATE(LEFT(dados_01!E578,3),REPT("*",6),RIGHT(dados_01!E578,2))</f>
        <v>******</v>
      </c>
      <c r="F578" s="95">
        <f>dados_01!F578</f>
        <v>0</v>
      </c>
      <c r="G578" s="95">
        <f>dados_01!G578</f>
        <v>0</v>
      </c>
      <c r="H578" s="95">
        <f>dados_01!H578</f>
        <v>0</v>
      </c>
      <c r="I578" s="95">
        <f>dados_01!I578</f>
        <v>0</v>
      </c>
      <c r="J578" s="95"/>
      <c r="K578" s="95"/>
      <c r="L578" s="95"/>
      <c r="M578" s="95"/>
      <c r="N578" s="95"/>
      <c r="O578" s="95"/>
      <c r="P578" s="95"/>
      <c r="Q578" s="95"/>
      <c r="R578" s="95"/>
      <c r="S578" s="95"/>
      <c r="T578" s="95"/>
      <c r="U578" s="95"/>
      <c r="V578" s="95"/>
      <c r="W578" s="95"/>
      <c r="X578" s="95"/>
      <c r="Y578" s="95"/>
      <c r="Z578" s="95"/>
    </row>
    <row r="579" ht="15.75" customHeight="1" spans="1:26">
      <c r="A579" s="95">
        <f>dados_01!A579</f>
        <v>0</v>
      </c>
      <c r="B579" s="95">
        <f>dados_01!B579</f>
        <v>0</v>
      </c>
      <c r="C579" s="95" t="str">
        <f>IFERROR(__xludf.DUMMYFUNCTION("JOIN("". "", ARRAYFORMULA(IFERROR(LEFT(SPLIT(dados_01!C579, "" ""), 1))))"),"")</f>
        <v/>
      </c>
      <c r="D579" s="95">
        <f>dados_01!D579</f>
        <v>0</v>
      </c>
      <c r="E579" s="95" t="str">
        <f>CONCATENATE(LEFT(dados_01!E579,3),REPT("*",6),RIGHT(dados_01!E579,2))</f>
        <v>******</v>
      </c>
      <c r="F579" s="95">
        <f>dados_01!F579</f>
        <v>0</v>
      </c>
      <c r="G579" s="95">
        <f>dados_01!G579</f>
        <v>0</v>
      </c>
      <c r="H579" s="95">
        <f>dados_01!H579</f>
        <v>0</v>
      </c>
      <c r="I579" s="95">
        <f>dados_01!I579</f>
        <v>0</v>
      </c>
      <c r="J579" s="95"/>
      <c r="K579" s="95"/>
      <c r="L579" s="95"/>
      <c r="M579" s="95"/>
      <c r="N579" s="95"/>
      <c r="O579" s="95"/>
      <c r="P579" s="95"/>
      <c r="Q579" s="95"/>
      <c r="R579" s="95"/>
      <c r="S579" s="95"/>
      <c r="T579" s="95"/>
      <c r="U579" s="95"/>
      <c r="V579" s="95"/>
      <c r="W579" s="95"/>
      <c r="X579" s="95"/>
      <c r="Y579" s="95"/>
      <c r="Z579" s="95"/>
    </row>
    <row r="580" ht="15.75" customHeight="1" spans="1:26">
      <c r="A580" s="95">
        <f>dados_01!A580</f>
        <v>0</v>
      </c>
      <c r="B580" s="95">
        <f>dados_01!B580</f>
        <v>0</v>
      </c>
      <c r="C580" s="95" t="str">
        <f>IFERROR(__xludf.DUMMYFUNCTION("JOIN("". "", ARRAYFORMULA(IFERROR(LEFT(SPLIT(dados_01!C580, "" ""), 1))))"),"")</f>
        <v/>
      </c>
      <c r="D580" s="95">
        <f>dados_01!D580</f>
        <v>0</v>
      </c>
      <c r="E580" s="95" t="str">
        <f>CONCATENATE(LEFT(dados_01!E580,3),REPT("*",6),RIGHT(dados_01!E580,2))</f>
        <v>******</v>
      </c>
      <c r="F580" s="95">
        <f>dados_01!F580</f>
        <v>0</v>
      </c>
      <c r="G580" s="95">
        <f>dados_01!G580</f>
        <v>0</v>
      </c>
      <c r="H580" s="95">
        <f>dados_01!H580</f>
        <v>0</v>
      </c>
      <c r="I580" s="95">
        <f>dados_01!I580</f>
        <v>0</v>
      </c>
      <c r="J580" s="95"/>
      <c r="K580" s="95"/>
      <c r="L580" s="95"/>
      <c r="M580" s="95"/>
      <c r="N580" s="95"/>
      <c r="O580" s="95"/>
      <c r="P580" s="95"/>
      <c r="Q580" s="95"/>
      <c r="R580" s="95"/>
      <c r="S580" s="95"/>
      <c r="T580" s="95"/>
      <c r="U580" s="95"/>
      <c r="V580" s="95"/>
      <c r="W580" s="95"/>
      <c r="X580" s="95"/>
      <c r="Y580" s="95"/>
      <c r="Z580" s="95"/>
    </row>
    <row r="581" ht="15.75" customHeight="1" spans="1:26">
      <c r="A581" s="95">
        <f>dados_01!A581</f>
        <v>0</v>
      </c>
      <c r="B581" s="95">
        <f>dados_01!B581</f>
        <v>0</v>
      </c>
      <c r="C581" s="95" t="str">
        <f>IFERROR(__xludf.DUMMYFUNCTION("JOIN("". "", ARRAYFORMULA(IFERROR(LEFT(SPLIT(dados_01!C581, "" ""), 1))))"),"")</f>
        <v/>
      </c>
      <c r="D581" s="95">
        <f>dados_01!D581</f>
        <v>0</v>
      </c>
      <c r="E581" s="95" t="str">
        <f>CONCATENATE(LEFT(dados_01!E581,3),REPT("*",6),RIGHT(dados_01!E581,2))</f>
        <v>******</v>
      </c>
      <c r="F581" s="95">
        <f>dados_01!F581</f>
        <v>0</v>
      </c>
      <c r="G581" s="95">
        <f>dados_01!G581</f>
        <v>0</v>
      </c>
      <c r="H581" s="95">
        <f>dados_01!H581</f>
        <v>0</v>
      </c>
      <c r="I581" s="95">
        <f>dados_01!I581</f>
        <v>0</v>
      </c>
      <c r="J581" s="95"/>
      <c r="K581" s="95"/>
      <c r="L581" s="95"/>
      <c r="M581" s="95"/>
      <c r="N581" s="95"/>
      <c r="O581" s="95"/>
      <c r="P581" s="95"/>
      <c r="Q581" s="95"/>
      <c r="R581" s="95"/>
      <c r="S581" s="95"/>
      <c r="T581" s="95"/>
      <c r="U581" s="95"/>
      <c r="V581" s="95"/>
      <c r="W581" s="95"/>
      <c r="X581" s="95"/>
      <c r="Y581" s="95"/>
      <c r="Z581" s="95"/>
    </row>
    <row r="582" ht="15.75" customHeight="1" spans="1:26">
      <c r="A582" s="95">
        <f>dados_01!A582</f>
        <v>0</v>
      </c>
      <c r="B582" s="95">
        <f>dados_01!B582</f>
        <v>0</v>
      </c>
      <c r="C582" s="95" t="str">
        <f>IFERROR(__xludf.DUMMYFUNCTION("JOIN("". "", ARRAYFORMULA(IFERROR(LEFT(SPLIT(dados_01!C582, "" ""), 1))))"),"")</f>
        <v/>
      </c>
      <c r="D582" s="95">
        <f>dados_01!D582</f>
        <v>0</v>
      </c>
      <c r="E582" s="95" t="str">
        <f>CONCATENATE(LEFT(dados_01!E582,3),REPT("*",6),RIGHT(dados_01!E582,2))</f>
        <v>******</v>
      </c>
      <c r="F582" s="95">
        <f>dados_01!F582</f>
        <v>0</v>
      </c>
      <c r="G582" s="95">
        <f>dados_01!G582</f>
        <v>0</v>
      </c>
      <c r="H582" s="95">
        <f>dados_01!H582</f>
        <v>0</v>
      </c>
      <c r="I582" s="95">
        <f>dados_01!I582</f>
        <v>0</v>
      </c>
      <c r="J582" s="95"/>
      <c r="K582" s="95"/>
      <c r="L582" s="95"/>
      <c r="M582" s="95"/>
      <c r="N582" s="95"/>
      <c r="O582" s="95"/>
      <c r="P582" s="95"/>
      <c r="Q582" s="95"/>
      <c r="R582" s="95"/>
      <c r="S582" s="95"/>
      <c r="T582" s="95"/>
      <c r="U582" s="95"/>
      <c r="V582" s="95"/>
      <c r="W582" s="95"/>
      <c r="X582" s="95"/>
      <c r="Y582" s="95"/>
      <c r="Z582" s="95"/>
    </row>
    <row r="583" ht="15.75" customHeight="1" spans="1:26">
      <c r="A583" s="95">
        <f>dados_01!A583</f>
        <v>0</v>
      </c>
      <c r="B583" s="95">
        <f>dados_01!B583</f>
        <v>0</v>
      </c>
      <c r="C583" s="95" t="str">
        <f>IFERROR(__xludf.DUMMYFUNCTION("JOIN("". "", ARRAYFORMULA(IFERROR(LEFT(SPLIT(dados_01!C583, "" ""), 1))))"),"")</f>
        <v/>
      </c>
      <c r="D583" s="95">
        <f>dados_01!D583</f>
        <v>0</v>
      </c>
      <c r="E583" s="95" t="str">
        <f>CONCATENATE(LEFT(dados_01!E583,3),REPT("*",6),RIGHT(dados_01!E583,2))</f>
        <v>******</v>
      </c>
      <c r="F583" s="95">
        <f>dados_01!F583</f>
        <v>0</v>
      </c>
      <c r="G583" s="95">
        <f>dados_01!G583</f>
        <v>0</v>
      </c>
      <c r="H583" s="95">
        <f>dados_01!H583</f>
        <v>0</v>
      </c>
      <c r="I583" s="95">
        <f>dados_01!I583</f>
        <v>0</v>
      </c>
      <c r="J583" s="95"/>
      <c r="K583" s="95"/>
      <c r="L583" s="95"/>
      <c r="M583" s="95"/>
      <c r="N583" s="95"/>
      <c r="O583" s="95"/>
      <c r="P583" s="95"/>
      <c r="Q583" s="95"/>
      <c r="R583" s="95"/>
      <c r="S583" s="95"/>
      <c r="T583" s="95"/>
      <c r="U583" s="95"/>
      <c r="V583" s="95"/>
      <c r="W583" s="95"/>
      <c r="X583" s="95"/>
      <c r="Y583" s="95"/>
      <c r="Z583" s="95"/>
    </row>
    <row r="584" ht="15.75" customHeight="1" spans="1:26">
      <c r="A584" s="95">
        <f>dados_01!A584</f>
        <v>0</v>
      </c>
      <c r="B584" s="95">
        <f>dados_01!B584</f>
        <v>0</v>
      </c>
      <c r="C584" s="95" t="str">
        <f>IFERROR(__xludf.DUMMYFUNCTION("JOIN("". "", ARRAYFORMULA(IFERROR(LEFT(SPLIT(dados_01!C584, "" ""), 1))))"),"")</f>
        <v/>
      </c>
      <c r="D584" s="95">
        <f>dados_01!D584</f>
        <v>0</v>
      </c>
      <c r="E584" s="95" t="str">
        <f>CONCATENATE(LEFT(dados_01!E584,3),REPT("*",6),RIGHT(dados_01!E584,2))</f>
        <v>******</v>
      </c>
      <c r="F584" s="95">
        <f>dados_01!F584</f>
        <v>0</v>
      </c>
      <c r="G584" s="95">
        <f>dados_01!G584</f>
        <v>0</v>
      </c>
      <c r="H584" s="95">
        <f>dados_01!H584</f>
        <v>0</v>
      </c>
      <c r="I584" s="95">
        <f>dados_01!I584</f>
        <v>0</v>
      </c>
      <c r="J584" s="95"/>
      <c r="K584" s="95"/>
      <c r="L584" s="95"/>
      <c r="M584" s="95"/>
      <c r="N584" s="95"/>
      <c r="O584" s="95"/>
      <c r="P584" s="95"/>
      <c r="Q584" s="95"/>
      <c r="R584" s="95"/>
      <c r="S584" s="95"/>
      <c r="T584" s="95"/>
      <c r="U584" s="95"/>
      <c r="V584" s="95"/>
      <c r="W584" s="95"/>
      <c r="X584" s="95"/>
      <c r="Y584" s="95"/>
      <c r="Z584" s="95"/>
    </row>
    <row r="585" ht="15.75" customHeight="1" spans="1:26">
      <c r="A585" s="95">
        <f>dados_01!A585</f>
        <v>0</v>
      </c>
      <c r="B585" s="95">
        <f>dados_01!B585</f>
        <v>0</v>
      </c>
      <c r="C585" s="95" t="str">
        <f>IFERROR(__xludf.DUMMYFUNCTION("JOIN("". "", ARRAYFORMULA(IFERROR(LEFT(SPLIT(dados_01!C585, "" ""), 1))))"),"")</f>
        <v/>
      </c>
      <c r="D585" s="95">
        <f>dados_01!D585</f>
        <v>0</v>
      </c>
      <c r="E585" s="95" t="str">
        <f>CONCATENATE(LEFT(dados_01!E585,3),REPT("*",6),RIGHT(dados_01!E585,2))</f>
        <v>******</v>
      </c>
      <c r="F585" s="95">
        <f>dados_01!F585</f>
        <v>0</v>
      </c>
      <c r="G585" s="95">
        <f>dados_01!G585</f>
        <v>0</v>
      </c>
      <c r="H585" s="95">
        <f>dados_01!H585</f>
        <v>0</v>
      </c>
      <c r="I585" s="95">
        <f>dados_01!I585</f>
        <v>0</v>
      </c>
      <c r="J585" s="95"/>
      <c r="K585" s="95"/>
      <c r="L585" s="95"/>
      <c r="M585" s="95"/>
      <c r="N585" s="95"/>
      <c r="O585" s="95"/>
      <c r="P585" s="95"/>
      <c r="Q585" s="95"/>
      <c r="R585" s="95"/>
      <c r="S585" s="95"/>
      <c r="T585" s="95"/>
      <c r="U585" s="95"/>
      <c r="V585" s="95"/>
      <c r="W585" s="95"/>
      <c r="X585" s="95"/>
      <c r="Y585" s="95"/>
      <c r="Z585" s="95"/>
    </row>
    <row r="586" ht="15.75" customHeight="1" spans="1:26">
      <c r="A586" s="95">
        <f>dados_01!A586</f>
        <v>0</v>
      </c>
      <c r="B586" s="95">
        <f>dados_01!B586</f>
        <v>0</v>
      </c>
      <c r="C586" s="95" t="str">
        <f>IFERROR(__xludf.DUMMYFUNCTION("JOIN("". "", ARRAYFORMULA(IFERROR(LEFT(SPLIT(dados_01!C586, "" ""), 1))))"),"")</f>
        <v/>
      </c>
      <c r="D586" s="95">
        <f>dados_01!D586</f>
        <v>0</v>
      </c>
      <c r="E586" s="95" t="str">
        <f>CONCATENATE(LEFT(dados_01!E586,3),REPT("*",6),RIGHT(dados_01!E586,2))</f>
        <v>******</v>
      </c>
      <c r="F586" s="95">
        <f>dados_01!F586</f>
        <v>0</v>
      </c>
      <c r="G586" s="95">
        <f>dados_01!G586</f>
        <v>0</v>
      </c>
      <c r="H586" s="95">
        <f>dados_01!H586</f>
        <v>0</v>
      </c>
      <c r="I586" s="95">
        <f>dados_01!I586</f>
        <v>0</v>
      </c>
      <c r="J586" s="95"/>
      <c r="K586" s="95"/>
      <c r="L586" s="95"/>
      <c r="M586" s="95"/>
      <c r="N586" s="95"/>
      <c r="O586" s="95"/>
      <c r="P586" s="95"/>
      <c r="Q586" s="95"/>
      <c r="R586" s="95"/>
      <c r="S586" s="95"/>
      <c r="T586" s="95"/>
      <c r="U586" s="95"/>
      <c r="V586" s="95"/>
      <c r="W586" s="95"/>
      <c r="X586" s="95"/>
      <c r="Y586" s="95"/>
      <c r="Z586" s="95"/>
    </row>
    <row r="587" ht="15.75" customHeight="1" spans="1:26">
      <c r="A587" s="95">
        <f>dados_01!A587</f>
        <v>0</v>
      </c>
      <c r="B587" s="95">
        <f>dados_01!B587</f>
        <v>0</v>
      </c>
      <c r="C587" s="95" t="str">
        <f>IFERROR(__xludf.DUMMYFUNCTION("JOIN("". "", ARRAYFORMULA(IFERROR(LEFT(SPLIT(dados_01!C587, "" ""), 1))))"),"")</f>
        <v/>
      </c>
      <c r="D587" s="95">
        <f>dados_01!D587</f>
        <v>0</v>
      </c>
      <c r="E587" s="95" t="str">
        <f>CONCATENATE(LEFT(dados_01!E587,3),REPT("*",6),RIGHT(dados_01!E587,2))</f>
        <v>******</v>
      </c>
      <c r="F587" s="95">
        <f>dados_01!F587</f>
        <v>0</v>
      </c>
      <c r="G587" s="95">
        <f>dados_01!G587</f>
        <v>0</v>
      </c>
      <c r="H587" s="95">
        <f>dados_01!H587</f>
        <v>0</v>
      </c>
      <c r="I587" s="95">
        <f>dados_01!I587</f>
        <v>0</v>
      </c>
      <c r="J587" s="95"/>
      <c r="K587" s="95"/>
      <c r="L587" s="95"/>
      <c r="M587" s="95"/>
      <c r="N587" s="95"/>
      <c r="O587" s="95"/>
      <c r="P587" s="95"/>
      <c r="Q587" s="95"/>
      <c r="R587" s="95"/>
      <c r="S587" s="95"/>
      <c r="T587" s="95"/>
      <c r="U587" s="95"/>
      <c r="V587" s="95"/>
      <c r="W587" s="95"/>
      <c r="X587" s="95"/>
      <c r="Y587" s="95"/>
      <c r="Z587" s="95"/>
    </row>
    <row r="588" ht="15.75" customHeight="1" spans="1:26">
      <c r="A588" s="95">
        <f>dados_01!A588</f>
        <v>0</v>
      </c>
      <c r="B588" s="95">
        <f>dados_01!B588</f>
        <v>0</v>
      </c>
      <c r="C588" s="95" t="str">
        <f>IFERROR(__xludf.DUMMYFUNCTION("JOIN("". "", ARRAYFORMULA(IFERROR(LEFT(SPLIT(dados_01!C588, "" ""), 1))))"),"")</f>
        <v/>
      </c>
      <c r="D588" s="95">
        <f>dados_01!D588</f>
        <v>0</v>
      </c>
      <c r="E588" s="95" t="str">
        <f>CONCATENATE(LEFT(dados_01!E588,3),REPT("*",6),RIGHT(dados_01!E588,2))</f>
        <v>******</v>
      </c>
      <c r="F588" s="95">
        <f>dados_01!F588</f>
        <v>0</v>
      </c>
      <c r="G588" s="95">
        <f>dados_01!G588</f>
        <v>0</v>
      </c>
      <c r="H588" s="95">
        <f>dados_01!H588</f>
        <v>0</v>
      </c>
      <c r="I588" s="95">
        <f>dados_01!I588</f>
        <v>0</v>
      </c>
      <c r="J588" s="95"/>
      <c r="K588" s="95"/>
      <c r="L588" s="95"/>
      <c r="M588" s="95"/>
      <c r="N588" s="95"/>
      <c r="O588" s="95"/>
      <c r="P588" s="95"/>
      <c r="Q588" s="95"/>
      <c r="R588" s="95"/>
      <c r="S588" s="95"/>
      <c r="T588" s="95"/>
      <c r="U588" s="95"/>
      <c r="V588" s="95"/>
      <c r="W588" s="95"/>
      <c r="X588" s="95"/>
      <c r="Y588" s="95"/>
      <c r="Z588" s="95"/>
    </row>
    <row r="589" ht="15.75" customHeight="1" spans="1:26">
      <c r="A589" s="95">
        <f>dados_01!A589</f>
        <v>0</v>
      </c>
      <c r="B589" s="95">
        <f>dados_01!B589</f>
        <v>0</v>
      </c>
      <c r="C589" s="95" t="str">
        <f>IFERROR(__xludf.DUMMYFUNCTION("JOIN("". "", ARRAYFORMULA(IFERROR(LEFT(SPLIT(dados_01!C589, "" ""), 1))))"),"")</f>
        <v/>
      </c>
      <c r="D589" s="95">
        <f>dados_01!D589</f>
        <v>0</v>
      </c>
      <c r="E589" s="95" t="str">
        <f>CONCATENATE(LEFT(dados_01!E589,3),REPT("*",6),RIGHT(dados_01!E589,2))</f>
        <v>******</v>
      </c>
      <c r="F589" s="95">
        <f>dados_01!F589</f>
        <v>0</v>
      </c>
      <c r="G589" s="95">
        <f>dados_01!G589</f>
        <v>0</v>
      </c>
      <c r="H589" s="95">
        <f>dados_01!H589</f>
        <v>0</v>
      </c>
      <c r="I589" s="95">
        <f>dados_01!I589</f>
        <v>0</v>
      </c>
      <c r="J589" s="95"/>
      <c r="K589" s="95"/>
      <c r="L589" s="95"/>
      <c r="M589" s="95"/>
      <c r="N589" s="95"/>
      <c r="O589" s="95"/>
      <c r="P589" s="95"/>
      <c r="Q589" s="95"/>
      <c r="R589" s="95"/>
      <c r="S589" s="95"/>
      <c r="T589" s="95"/>
      <c r="U589" s="95"/>
      <c r="V589" s="95"/>
      <c r="W589" s="95"/>
      <c r="X589" s="95"/>
      <c r="Y589" s="95"/>
      <c r="Z589" s="95"/>
    </row>
    <row r="590" ht="15.75" customHeight="1" spans="1:26">
      <c r="A590" s="95">
        <f>dados_01!A590</f>
        <v>0</v>
      </c>
      <c r="B590" s="95">
        <f>dados_01!B590</f>
        <v>0</v>
      </c>
      <c r="C590" s="95" t="str">
        <f>IFERROR(__xludf.DUMMYFUNCTION("JOIN("". "", ARRAYFORMULA(IFERROR(LEFT(SPLIT(dados_01!C590, "" ""), 1))))"),"")</f>
        <v/>
      </c>
      <c r="D590" s="95">
        <f>dados_01!D590</f>
        <v>0</v>
      </c>
      <c r="E590" s="95" t="str">
        <f>CONCATENATE(LEFT(dados_01!E590,3),REPT("*",6),RIGHT(dados_01!E590,2))</f>
        <v>******</v>
      </c>
      <c r="F590" s="95">
        <f>dados_01!F590</f>
        <v>0</v>
      </c>
      <c r="G590" s="95">
        <f>dados_01!G590</f>
        <v>0</v>
      </c>
      <c r="H590" s="95">
        <f>dados_01!H590</f>
        <v>0</v>
      </c>
      <c r="I590" s="95">
        <f>dados_01!I590</f>
        <v>0</v>
      </c>
      <c r="J590" s="95"/>
      <c r="K590" s="95"/>
      <c r="L590" s="95"/>
      <c r="M590" s="95"/>
      <c r="N590" s="95"/>
      <c r="O590" s="95"/>
      <c r="P590" s="95"/>
      <c r="Q590" s="95"/>
      <c r="R590" s="95"/>
      <c r="S590" s="95"/>
      <c r="T590" s="95"/>
      <c r="U590" s="95"/>
      <c r="V590" s="95"/>
      <c r="W590" s="95"/>
      <c r="X590" s="95"/>
      <c r="Y590" s="95"/>
      <c r="Z590" s="95"/>
    </row>
    <row r="591" ht="15.75" customHeight="1" spans="1:26">
      <c r="A591" s="95">
        <f>dados_01!A591</f>
        <v>0</v>
      </c>
      <c r="B591" s="95">
        <f>dados_01!B591</f>
        <v>0</v>
      </c>
      <c r="C591" s="95" t="str">
        <f>IFERROR(__xludf.DUMMYFUNCTION("JOIN("". "", ARRAYFORMULA(IFERROR(LEFT(SPLIT(dados_01!C591, "" ""), 1))))"),"")</f>
        <v/>
      </c>
      <c r="D591" s="95">
        <f>dados_01!D591</f>
        <v>0</v>
      </c>
      <c r="E591" s="95" t="str">
        <f>CONCATENATE(LEFT(dados_01!E591,3),REPT("*",6),RIGHT(dados_01!E591,2))</f>
        <v>******</v>
      </c>
      <c r="F591" s="95">
        <f>dados_01!F591</f>
        <v>0</v>
      </c>
      <c r="G591" s="95">
        <f>dados_01!G591</f>
        <v>0</v>
      </c>
      <c r="H591" s="95">
        <f>dados_01!H591</f>
        <v>0</v>
      </c>
      <c r="I591" s="95">
        <f>dados_01!I591</f>
        <v>0</v>
      </c>
      <c r="J591" s="95"/>
      <c r="K591" s="95"/>
      <c r="L591" s="95"/>
      <c r="M591" s="95"/>
      <c r="N591" s="95"/>
      <c r="O591" s="95"/>
      <c r="P591" s="95"/>
      <c r="Q591" s="95"/>
      <c r="R591" s="95"/>
      <c r="S591" s="95"/>
      <c r="T591" s="95"/>
      <c r="U591" s="95"/>
      <c r="V591" s="95"/>
      <c r="W591" s="95"/>
      <c r="X591" s="95"/>
      <c r="Y591" s="95"/>
      <c r="Z591" s="95"/>
    </row>
    <row r="592" ht="15.75" customHeight="1" spans="1:26">
      <c r="A592" s="95">
        <f>dados_01!A592</f>
        <v>0</v>
      </c>
      <c r="B592" s="95">
        <f>dados_01!B592</f>
        <v>0</v>
      </c>
      <c r="C592" s="95" t="str">
        <f>IFERROR(__xludf.DUMMYFUNCTION("JOIN("". "", ARRAYFORMULA(IFERROR(LEFT(SPLIT(dados_01!C592, "" ""), 1))))"),"")</f>
        <v/>
      </c>
      <c r="D592" s="95">
        <f>dados_01!D592</f>
        <v>0</v>
      </c>
      <c r="E592" s="95" t="str">
        <f>CONCATENATE(LEFT(dados_01!E592,3),REPT("*",6),RIGHT(dados_01!E592,2))</f>
        <v>******</v>
      </c>
      <c r="F592" s="95">
        <f>dados_01!F592</f>
        <v>0</v>
      </c>
      <c r="G592" s="95">
        <f>dados_01!G592</f>
        <v>0</v>
      </c>
      <c r="H592" s="95">
        <f>dados_01!H592</f>
        <v>0</v>
      </c>
      <c r="I592" s="95">
        <f>dados_01!I592</f>
        <v>0</v>
      </c>
      <c r="J592" s="95"/>
      <c r="K592" s="95"/>
      <c r="L592" s="95"/>
      <c r="M592" s="95"/>
      <c r="N592" s="95"/>
      <c r="O592" s="95"/>
      <c r="P592" s="95"/>
      <c r="Q592" s="95"/>
      <c r="R592" s="95"/>
      <c r="S592" s="95"/>
      <c r="T592" s="95"/>
      <c r="U592" s="95"/>
      <c r="V592" s="95"/>
      <c r="W592" s="95"/>
      <c r="X592" s="95"/>
      <c r="Y592" s="95"/>
      <c r="Z592" s="95"/>
    </row>
    <row r="593" ht="15.75" customHeight="1" spans="1:26">
      <c r="A593" s="95">
        <f>dados_01!A593</f>
        <v>0</v>
      </c>
      <c r="B593" s="95">
        <f>dados_01!B593</f>
        <v>0</v>
      </c>
      <c r="C593" s="95" t="str">
        <f>IFERROR(__xludf.DUMMYFUNCTION("JOIN("". "", ARRAYFORMULA(IFERROR(LEFT(SPLIT(dados_01!C593, "" ""), 1))))"),"")</f>
        <v/>
      </c>
      <c r="D593" s="95">
        <f>dados_01!D593</f>
        <v>0</v>
      </c>
      <c r="E593" s="95" t="str">
        <f>CONCATENATE(LEFT(dados_01!E593,3),REPT("*",6),RIGHT(dados_01!E593,2))</f>
        <v>******</v>
      </c>
      <c r="F593" s="95">
        <f>dados_01!F593</f>
        <v>0</v>
      </c>
      <c r="G593" s="95">
        <f>dados_01!G593</f>
        <v>0</v>
      </c>
      <c r="H593" s="95">
        <f>dados_01!H593</f>
        <v>0</v>
      </c>
      <c r="I593" s="95">
        <f>dados_01!I593</f>
        <v>0</v>
      </c>
      <c r="J593" s="95"/>
      <c r="K593" s="95"/>
      <c r="L593" s="95"/>
      <c r="M593" s="95"/>
      <c r="N593" s="95"/>
      <c r="O593" s="95"/>
      <c r="P593" s="95"/>
      <c r="Q593" s="95"/>
      <c r="R593" s="95"/>
      <c r="S593" s="95"/>
      <c r="T593" s="95"/>
      <c r="U593" s="95"/>
      <c r="V593" s="95"/>
      <c r="W593" s="95"/>
      <c r="X593" s="95"/>
      <c r="Y593" s="95"/>
      <c r="Z593" s="95"/>
    </row>
    <row r="594" ht="15.75" customHeight="1" spans="1:26">
      <c r="A594" s="95">
        <f>dados_01!A594</f>
        <v>0</v>
      </c>
      <c r="B594" s="95">
        <f>dados_01!B594</f>
        <v>0</v>
      </c>
      <c r="C594" s="95" t="str">
        <f>IFERROR(__xludf.DUMMYFUNCTION("JOIN("". "", ARRAYFORMULA(IFERROR(LEFT(SPLIT(dados_01!C594, "" ""), 1))))"),"")</f>
        <v/>
      </c>
      <c r="D594" s="95">
        <f>dados_01!D594</f>
        <v>0</v>
      </c>
      <c r="E594" s="95" t="str">
        <f>CONCATENATE(LEFT(dados_01!E594,3),REPT("*",6),RIGHT(dados_01!E594,2))</f>
        <v>******</v>
      </c>
      <c r="F594" s="95">
        <f>dados_01!F594</f>
        <v>0</v>
      </c>
      <c r="G594" s="95">
        <f>dados_01!G594</f>
        <v>0</v>
      </c>
      <c r="H594" s="95">
        <f>dados_01!H594</f>
        <v>0</v>
      </c>
      <c r="I594" s="95">
        <f>dados_01!I594</f>
        <v>0</v>
      </c>
      <c r="J594" s="95"/>
      <c r="K594" s="95"/>
      <c r="L594" s="95"/>
      <c r="M594" s="95"/>
      <c r="N594" s="95"/>
      <c r="O594" s="95"/>
      <c r="P594" s="95"/>
      <c r="Q594" s="95"/>
      <c r="R594" s="95"/>
      <c r="S594" s="95"/>
      <c r="T594" s="95"/>
      <c r="U594" s="95"/>
      <c r="V594" s="95"/>
      <c r="W594" s="95"/>
      <c r="X594" s="95"/>
      <c r="Y594" s="95"/>
      <c r="Z594" s="95"/>
    </row>
    <row r="595" ht="15.75" customHeight="1" spans="1:26">
      <c r="A595" s="95">
        <f>dados_01!A595</f>
        <v>0</v>
      </c>
      <c r="B595" s="95">
        <f>dados_01!B595</f>
        <v>0</v>
      </c>
      <c r="C595" s="95" t="str">
        <f>IFERROR(__xludf.DUMMYFUNCTION("JOIN("". "", ARRAYFORMULA(IFERROR(LEFT(SPLIT(dados_01!C595, "" ""), 1))))"),"")</f>
        <v/>
      </c>
      <c r="D595" s="95">
        <f>dados_01!D595</f>
        <v>0</v>
      </c>
      <c r="E595" s="95" t="str">
        <f>CONCATENATE(LEFT(dados_01!E595,3),REPT("*",6),RIGHT(dados_01!E595,2))</f>
        <v>******</v>
      </c>
      <c r="F595" s="95">
        <f>dados_01!F595</f>
        <v>0</v>
      </c>
      <c r="G595" s="95">
        <f>dados_01!G595</f>
        <v>0</v>
      </c>
      <c r="H595" s="95">
        <f>dados_01!H595</f>
        <v>0</v>
      </c>
      <c r="I595" s="95">
        <f>dados_01!I595</f>
        <v>0</v>
      </c>
      <c r="J595" s="95"/>
      <c r="K595" s="95"/>
      <c r="L595" s="95"/>
      <c r="M595" s="95"/>
      <c r="N595" s="95"/>
      <c r="O595" s="95"/>
      <c r="P595" s="95"/>
      <c r="Q595" s="95"/>
      <c r="R595" s="95"/>
      <c r="S595" s="95"/>
      <c r="T595" s="95"/>
      <c r="U595" s="95"/>
      <c r="V595" s="95"/>
      <c r="W595" s="95"/>
      <c r="X595" s="95"/>
      <c r="Y595" s="95"/>
      <c r="Z595" s="95"/>
    </row>
    <row r="596" ht="15.75" customHeight="1" spans="1:26">
      <c r="A596" s="95">
        <f>dados_01!A596</f>
        <v>0</v>
      </c>
      <c r="B596" s="95">
        <f>dados_01!B596</f>
        <v>0</v>
      </c>
      <c r="C596" s="95" t="str">
        <f>IFERROR(__xludf.DUMMYFUNCTION("JOIN("". "", ARRAYFORMULA(IFERROR(LEFT(SPLIT(dados_01!C596, "" ""), 1))))"),"")</f>
        <v/>
      </c>
      <c r="D596" s="95">
        <f>dados_01!D596</f>
        <v>0</v>
      </c>
      <c r="E596" s="95" t="str">
        <f>CONCATENATE(LEFT(dados_01!E596,3),REPT("*",6),RIGHT(dados_01!E596,2))</f>
        <v>******</v>
      </c>
      <c r="F596" s="95">
        <f>dados_01!F596</f>
        <v>0</v>
      </c>
      <c r="G596" s="95">
        <f>dados_01!G596</f>
        <v>0</v>
      </c>
      <c r="H596" s="95">
        <f>dados_01!H596</f>
        <v>0</v>
      </c>
      <c r="I596" s="95">
        <f>dados_01!I596</f>
        <v>0</v>
      </c>
      <c r="J596" s="95"/>
      <c r="K596" s="95"/>
      <c r="L596" s="95"/>
      <c r="M596" s="95"/>
      <c r="N596" s="95"/>
      <c r="O596" s="95"/>
      <c r="P596" s="95"/>
      <c r="Q596" s="95"/>
      <c r="R596" s="95"/>
      <c r="S596" s="95"/>
      <c r="T596" s="95"/>
      <c r="U596" s="95"/>
      <c r="V596" s="95"/>
      <c r="W596" s="95"/>
      <c r="X596" s="95"/>
      <c r="Y596" s="95"/>
      <c r="Z596" s="95"/>
    </row>
    <row r="597" ht="15.75" customHeight="1" spans="1:26">
      <c r="A597" s="95">
        <f>dados_01!A597</f>
        <v>0</v>
      </c>
      <c r="B597" s="95">
        <f>dados_01!B597</f>
        <v>0</v>
      </c>
      <c r="C597" s="95" t="str">
        <f>IFERROR(__xludf.DUMMYFUNCTION("JOIN("". "", ARRAYFORMULA(IFERROR(LEFT(SPLIT(dados_01!C597, "" ""), 1))))"),"")</f>
        <v/>
      </c>
      <c r="D597" s="95">
        <f>dados_01!D597</f>
        <v>0</v>
      </c>
      <c r="E597" s="95" t="str">
        <f>CONCATENATE(LEFT(dados_01!E597,3),REPT("*",6),RIGHT(dados_01!E597,2))</f>
        <v>******</v>
      </c>
      <c r="F597" s="95">
        <f>dados_01!F597</f>
        <v>0</v>
      </c>
      <c r="G597" s="95">
        <f>dados_01!G597</f>
        <v>0</v>
      </c>
      <c r="H597" s="95">
        <f>dados_01!H597</f>
        <v>0</v>
      </c>
      <c r="I597" s="95">
        <f>dados_01!I597</f>
        <v>0</v>
      </c>
      <c r="J597" s="95"/>
      <c r="K597" s="95"/>
      <c r="L597" s="95"/>
      <c r="M597" s="95"/>
      <c r="N597" s="95"/>
      <c r="O597" s="95"/>
      <c r="P597" s="95"/>
      <c r="Q597" s="95"/>
      <c r="R597" s="95"/>
      <c r="S597" s="95"/>
      <c r="T597" s="95"/>
      <c r="U597" s="95"/>
      <c r="V597" s="95"/>
      <c r="W597" s="95"/>
      <c r="X597" s="95"/>
      <c r="Y597" s="95"/>
      <c r="Z597" s="95"/>
    </row>
    <row r="598" ht="15.75" customHeight="1" spans="1:26">
      <c r="A598" s="95">
        <f>dados_01!A598</f>
        <v>0</v>
      </c>
      <c r="B598" s="95">
        <f>dados_01!B598</f>
        <v>0</v>
      </c>
      <c r="C598" s="95" t="str">
        <f>IFERROR(__xludf.DUMMYFUNCTION("JOIN("". "", ARRAYFORMULA(IFERROR(LEFT(SPLIT(dados_01!C598, "" ""), 1))))"),"")</f>
        <v/>
      </c>
      <c r="D598" s="95">
        <f>dados_01!D598</f>
        <v>0</v>
      </c>
      <c r="E598" s="95" t="str">
        <f>CONCATENATE(LEFT(dados_01!E598,3),REPT("*",6),RIGHT(dados_01!E598,2))</f>
        <v>******</v>
      </c>
      <c r="F598" s="95">
        <f>dados_01!F598</f>
        <v>0</v>
      </c>
      <c r="G598" s="95">
        <f>dados_01!G598</f>
        <v>0</v>
      </c>
      <c r="H598" s="95">
        <f>dados_01!H598</f>
        <v>0</v>
      </c>
      <c r="I598" s="95">
        <f>dados_01!I598</f>
        <v>0</v>
      </c>
      <c r="J598" s="95"/>
      <c r="K598" s="95"/>
      <c r="L598" s="95"/>
      <c r="M598" s="95"/>
      <c r="N598" s="95"/>
      <c r="O598" s="95"/>
      <c r="P598" s="95"/>
      <c r="Q598" s="95"/>
      <c r="R598" s="95"/>
      <c r="S598" s="95"/>
      <c r="T598" s="95"/>
      <c r="U598" s="95"/>
      <c r="V598" s="95"/>
      <c r="W598" s="95"/>
      <c r="X598" s="95"/>
      <c r="Y598" s="95"/>
      <c r="Z598" s="95"/>
    </row>
    <row r="599" ht="15.75" customHeight="1" spans="1:26">
      <c r="A599" s="95">
        <f>dados_01!A599</f>
        <v>0</v>
      </c>
      <c r="B599" s="95">
        <f>dados_01!B599</f>
        <v>0</v>
      </c>
      <c r="C599" s="95" t="str">
        <f>IFERROR(__xludf.DUMMYFUNCTION("JOIN("". "", ARRAYFORMULA(IFERROR(LEFT(SPLIT(dados_01!C599, "" ""), 1))))"),"")</f>
        <v/>
      </c>
      <c r="D599" s="95">
        <f>dados_01!D599</f>
        <v>0</v>
      </c>
      <c r="E599" s="95" t="str">
        <f>CONCATENATE(LEFT(dados_01!E599,3),REPT("*",6),RIGHT(dados_01!E599,2))</f>
        <v>******</v>
      </c>
      <c r="F599" s="95">
        <f>dados_01!F599</f>
        <v>0</v>
      </c>
      <c r="G599" s="95">
        <f>dados_01!G599</f>
        <v>0</v>
      </c>
      <c r="H599" s="95">
        <f>dados_01!H599</f>
        <v>0</v>
      </c>
      <c r="I599" s="95">
        <f>dados_01!I599</f>
        <v>0</v>
      </c>
      <c r="J599" s="95"/>
      <c r="K599" s="95"/>
      <c r="L599" s="95"/>
      <c r="M599" s="95"/>
      <c r="N599" s="95"/>
      <c r="O599" s="95"/>
      <c r="P599" s="95"/>
      <c r="Q599" s="95"/>
      <c r="R599" s="95"/>
      <c r="S599" s="95"/>
      <c r="T599" s="95"/>
      <c r="U599" s="95"/>
      <c r="V599" s="95"/>
      <c r="W599" s="95"/>
      <c r="X599" s="95"/>
      <c r="Y599" s="95"/>
      <c r="Z599" s="95"/>
    </row>
    <row r="600" ht="15.75" customHeight="1" spans="1:26">
      <c r="A600" s="95">
        <f>dados_01!A600</f>
        <v>0</v>
      </c>
      <c r="B600" s="95">
        <f>dados_01!B600</f>
        <v>0</v>
      </c>
      <c r="C600" s="95" t="str">
        <f>IFERROR(__xludf.DUMMYFUNCTION("JOIN("". "", ARRAYFORMULA(IFERROR(LEFT(SPLIT(dados_01!C600, "" ""), 1))))"),"")</f>
        <v/>
      </c>
      <c r="D600" s="95">
        <f>dados_01!D600</f>
        <v>0</v>
      </c>
      <c r="E600" s="95" t="str">
        <f>CONCATENATE(LEFT(dados_01!E600,3),REPT("*",6),RIGHT(dados_01!E600,2))</f>
        <v>******</v>
      </c>
      <c r="F600" s="95">
        <f>dados_01!F600</f>
        <v>0</v>
      </c>
      <c r="G600" s="95">
        <f>dados_01!G600</f>
        <v>0</v>
      </c>
      <c r="H600" s="95">
        <f>dados_01!H600</f>
        <v>0</v>
      </c>
      <c r="I600" s="95">
        <f>dados_01!I600</f>
        <v>0</v>
      </c>
      <c r="J600" s="95"/>
      <c r="K600" s="95"/>
      <c r="L600" s="95"/>
      <c r="M600" s="95"/>
      <c r="N600" s="95"/>
      <c r="O600" s="95"/>
      <c r="P600" s="95"/>
      <c r="Q600" s="95"/>
      <c r="R600" s="95"/>
      <c r="S600" s="95"/>
      <c r="T600" s="95"/>
      <c r="U600" s="95"/>
      <c r="V600" s="95"/>
      <c r="W600" s="95"/>
      <c r="X600" s="95"/>
      <c r="Y600" s="95"/>
      <c r="Z600" s="95"/>
    </row>
    <row r="601" ht="15.75" customHeight="1" spans="1:26">
      <c r="A601" s="95">
        <f>dados_01!A601</f>
        <v>0</v>
      </c>
      <c r="B601" s="95">
        <f>dados_01!B601</f>
        <v>0</v>
      </c>
      <c r="C601" s="95" t="str">
        <f>IFERROR(__xludf.DUMMYFUNCTION("JOIN("". "", ARRAYFORMULA(IFERROR(LEFT(SPLIT(dados_01!C601, "" ""), 1))))"),"")</f>
        <v/>
      </c>
      <c r="D601" s="95">
        <f>dados_01!D601</f>
        <v>0</v>
      </c>
      <c r="E601" s="95" t="str">
        <f>CONCATENATE(LEFT(dados_01!E601,3),REPT("*",6),RIGHT(dados_01!E601,2))</f>
        <v>******</v>
      </c>
      <c r="F601" s="95">
        <f>dados_01!F601</f>
        <v>0</v>
      </c>
      <c r="G601" s="95">
        <f>dados_01!G601</f>
        <v>0</v>
      </c>
      <c r="H601" s="95">
        <f>dados_01!H601</f>
        <v>0</v>
      </c>
      <c r="I601" s="95">
        <f>dados_01!I601</f>
        <v>0</v>
      </c>
      <c r="J601" s="95"/>
      <c r="K601" s="95"/>
      <c r="L601" s="95"/>
      <c r="M601" s="95"/>
      <c r="N601" s="95"/>
      <c r="O601" s="95"/>
      <c r="P601" s="95"/>
      <c r="Q601" s="95"/>
      <c r="R601" s="95"/>
      <c r="S601" s="95"/>
      <c r="T601" s="95"/>
      <c r="U601" s="95"/>
      <c r="V601" s="95"/>
      <c r="W601" s="95"/>
      <c r="X601" s="95"/>
      <c r="Y601" s="95"/>
      <c r="Z601" s="95"/>
    </row>
    <row r="602" ht="15.75" customHeight="1" spans="1:26">
      <c r="A602" s="95">
        <f>dados_01!A602</f>
        <v>0</v>
      </c>
      <c r="B602" s="95">
        <f>dados_01!B602</f>
        <v>0</v>
      </c>
      <c r="C602" s="95" t="str">
        <f>IFERROR(__xludf.DUMMYFUNCTION("JOIN("". "", ARRAYFORMULA(IFERROR(LEFT(SPLIT(dados_01!C602, "" ""), 1))))"),"")</f>
        <v/>
      </c>
      <c r="D602" s="95">
        <f>dados_01!D602</f>
        <v>0</v>
      </c>
      <c r="E602" s="95" t="str">
        <f>CONCATENATE(LEFT(dados_01!E602,3),REPT("*",6),RIGHT(dados_01!E602,2))</f>
        <v>******</v>
      </c>
      <c r="F602" s="95">
        <f>dados_01!F602</f>
        <v>0</v>
      </c>
      <c r="G602" s="95">
        <f>dados_01!G602</f>
        <v>0</v>
      </c>
      <c r="H602" s="95">
        <f>dados_01!H602</f>
        <v>0</v>
      </c>
      <c r="I602" s="95">
        <f>dados_01!I602</f>
        <v>0</v>
      </c>
      <c r="J602" s="95"/>
      <c r="K602" s="95"/>
      <c r="L602" s="95"/>
      <c r="M602" s="95"/>
      <c r="N602" s="95"/>
      <c r="O602" s="95"/>
      <c r="P602" s="95"/>
      <c r="Q602" s="95"/>
      <c r="R602" s="95"/>
      <c r="S602" s="95"/>
      <c r="T602" s="95"/>
      <c r="U602" s="95"/>
      <c r="V602" s="95"/>
      <c r="W602" s="95"/>
      <c r="X602" s="95"/>
      <c r="Y602" s="95"/>
      <c r="Z602" s="95"/>
    </row>
    <row r="603" ht="15.75" customHeight="1" spans="1:26">
      <c r="A603" s="95">
        <f>dados_01!A603</f>
        <v>0</v>
      </c>
      <c r="B603" s="95">
        <f>dados_01!B603</f>
        <v>0</v>
      </c>
      <c r="C603" s="95" t="str">
        <f>IFERROR(__xludf.DUMMYFUNCTION("JOIN("". "", ARRAYFORMULA(IFERROR(LEFT(SPLIT(dados_01!C603, "" ""), 1))))"),"")</f>
        <v/>
      </c>
      <c r="D603" s="95">
        <f>dados_01!D603</f>
        <v>0</v>
      </c>
      <c r="E603" s="95" t="str">
        <f>CONCATENATE(LEFT(dados_01!E603,3),REPT("*",6),RIGHT(dados_01!E603,2))</f>
        <v>******</v>
      </c>
      <c r="F603" s="95">
        <f>dados_01!F603</f>
        <v>0</v>
      </c>
      <c r="G603" s="95">
        <f>dados_01!G603</f>
        <v>0</v>
      </c>
      <c r="H603" s="95">
        <f>dados_01!H603</f>
        <v>0</v>
      </c>
      <c r="I603" s="95">
        <f>dados_01!I603</f>
        <v>0</v>
      </c>
      <c r="J603" s="95"/>
      <c r="K603" s="95"/>
      <c r="L603" s="95"/>
      <c r="M603" s="95"/>
      <c r="N603" s="95"/>
      <c r="O603" s="95"/>
      <c r="P603" s="95"/>
      <c r="Q603" s="95"/>
      <c r="R603" s="95"/>
      <c r="S603" s="95"/>
      <c r="T603" s="95"/>
      <c r="U603" s="95"/>
      <c r="V603" s="95"/>
      <c r="W603" s="95"/>
      <c r="X603" s="95"/>
      <c r="Y603" s="95"/>
      <c r="Z603" s="95"/>
    </row>
    <row r="604" ht="15.75" customHeight="1" spans="1:26">
      <c r="A604" s="95">
        <f>dados_01!A604</f>
        <v>0</v>
      </c>
      <c r="B604" s="95">
        <f>dados_01!B604</f>
        <v>0</v>
      </c>
      <c r="C604" s="95" t="str">
        <f>IFERROR(__xludf.DUMMYFUNCTION("JOIN("". "", ARRAYFORMULA(IFERROR(LEFT(SPLIT(dados_01!C604, "" ""), 1))))"),"")</f>
        <v/>
      </c>
      <c r="D604" s="95">
        <f>dados_01!D604</f>
        <v>0</v>
      </c>
      <c r="E604" s="95" t="str">
        <f>CONCATENATE(LEFT(dados_01!E604,3),REPT("*",6),RIGHT(dados_01!E604,2))</f>
        <v>******</v>
      </c>
      <c r="F604" s="95">
        <f>dados_01!F604</f>
        <v>0</v>
      </c>
      <c r="G604" s="95">
        <f>dados_01!G604</f>
        <v>0</v>
      </c>
      <c r="H604" s="95">
        <f>dados_01!H604</f>
        <v>0</v>
      </c>
      <c r="I604" s="95">
        <f>dados_01!I604</f>
        <v>0</v>
      </c>
      <c r="J604" s="95"/>
      <c r="K604" s="95"/>
      <c r="L604" s="95"/>
      <c r="M604" s="95"/>
      <c r="N604" s="95"/>
      <c r="O604" s="95"/>
      <c r="P604" s="95"/>
      <c r="Q604" s="95"/>
      <c r="R604" s="95"/>
      <c r="S604" s="95"/>
      <c r="T604" s="95"/>
      <c r="U604" s="95"/>
      <c r="V604" s="95"/>
      <c r="W604" s="95"/>
      <c r="X604" s="95"/>
      <c r="Y604" s="95"/>
      <c r="Z604" s="95"/>
    </row>
    <row r="605" ht="15.75" customHeight="1" spans="1:26">
      <c r="A605" s="95">
        <f>dados_01!A605</f>
        <v>0</v>
      </c>
      <c r="B605" s="95">
        <f>dados_01!B605</f>
        <v>0</v>
      </c>
      <c r="C605" s="95" t="str">
        <f>IFERROR(__xludf.DUMMYFUNCTION("JOIN("". "", ARRAYFORMULA(IFERROR(LEFT(SPLIT(dados_01!C605, "" ""), 1))))"),"")</f>
        <v/>
      </c>
      <c r="D605" s="95">
        <f>dados_01!D605</f>
        <v>0</v>
      </c>
      <c r="E605" s="95" t="str">
        <f>CONCATENATE(LEFT(dados_01!E605,3),REPT("*",6),RIGHT(dados_01!E605,2))</f>
        <v>******</v>
      </c>
      <c r="F605" s="95">
        <f>dados_01!F605</f>
        <v>0</v>
      </c>
      <c r="G605" s="95">
        <f>dados_01!G605</f>
        <v>0</v>
      </c>
      <c r="H605" s="95">
        <f>dados_01!H605</f>
        <v>0</v>
      </c>
      <c r="I605" s="95">
        <f>dados_01!I605</f>
        <v>0</v>
      </c>
      <c r="J605" s="95"/>
      <c r="K605" s="95"/>
      <c r="L605" s="95"/>
      <c r="M605" s="95"/>
      <c r="N605" s="95"/>
      <c r="O605" s="95"/>
      <c r="P605" s="95"/>
      <c r="Q605" s="95"/>
      <c r="R605" s="95"/>
      <c r="S605" s="95"/>
      <c r="T605" s="95"/>
      <c r="U605" s="95"/>
      <c r="V605" s="95"/>
      <c r="W605" s="95"/>
      <c r="X605" s="95"/>
      <c r="Y605" s="95"/>
      <c r="Z605" s="95"/>
    </row>
    <row r="606" ht="15.75" customHeight="1" spans="1:26">
      <c r="A606" s="95">
        <f>dados_01!A606</f>
        <v>0</v>
      </c>
      <c r="B606" s="95">
        <f>dados_01!B606</f>
        <v>0</v>
      </c>
      <c r="C606" s="95" t="str">
        <f>IFERROR(__xludf.DUMMYFUNCTION("JOIN("". "", ARRAYFORMULA(IFERROR(LEFT(SPLIT(dados_01!C606, "" ""), 1))))"),"")</f>
        <v/>
      </c>
      <c r="D606" s="95">
        <f>dados_01!D606</f>
        <v>0</v>
      </c>
      <c r="E606" s="95" t="str">
        <f>CONCATENATE(LEFT(dados_01!E606,3),REPT("*",6),RIGHT(dados_01!E606,2))</f>
        <v>******</v>
      </c>
      <c r="F606" s="95">
        <f>dados_01!F606</f>
        <v>0</v>
      </c>
      <c r="G606" s="95">
        <f>dados_01!G606</f>
        <v>0</v>
      </c>
      <c r="H606" s="95">
        <f>dados_01!H606</f>
        <v>0</v>
      </c>
      <c r="I606" s="95">
        <f>dados_01!I606</f>
        <v>0</v>
      </c>
      <c r="J606" s="95"/>
      <c r="K606" s="95"/>
      <c r="L606" s="95"/>
      <c r="M606" s="95"/>
      <c r="N606" s="95"/>
      <c r="O606" s="95"/>
      <c r="P606" s="95"/>
      <c r="Q606" s="95"/>
      <c r="R606" s="95"/>
      <c r="S606" s="95"/>
      <c r="T606" s="95"/>
      <c r="U606" s="95"/>
      <c r="V606" s="95"/>
      <c r="W606" s="95"/>
      <c r="X606" s="95"/>
      <c r="Y606" s="95"/>
      <c r="Z606" s="95"/>
    </row>
    <row r="607" ht="15.75" customHeight="1" spans="1:26">
      <c r="A607" s="95">
        <f>dados_01!A607</f>
        <v>0</v>
      </c>
      <c r="B607" s="95">
        <f>dados_01!B607</f>
        <v>0</v>
      </c>
      <c r="C607" s="95" t="str">
        <f>IFERROR(__xludf.DUMMYFUNCTION("JOIN("". "", ARRAYFORMULA(IFERROR(LEFT(SPLIT(dados_01!C607, "" ""), 1))))"),"")</f>
        <v/>
      </c>
      <c r="D607" s="95">
        <f>dados_01!D607</f>
        <v>0</v>
      </c>
      <c r="E607" s="95" t="str">
        <f>CONCATENATE(LEFT(dados_01!E607,3),REPT("*",6),RIGHT(dados_01!E607,2))</f>
        <v>******</v>
      </c>
      <c r="F607" s="95">
        <f>dados_01!F607</f>
        <v>0</v>
      </c>
      <c r="G607" s="95">
        <f>dados_01!G607</f>
        <v>0</v>
      </c>
      <c r="H607" s="95">
        <f>dados_01!H607</f>
        <v>0</v>
      </c>
      <c r="I607" s="95">
        <f>dados_01!I607</f>
        <v>0</v>
      </c>
      <c r="J607" s="95"/>
      <c r="K607" s="95"/>
      <c r="L607" s="95"/>
      <c r="M607" s="95"/>
      <c r="N607" s="95"/>
      <c r="O607" s="95"/>
      <c r="P607" s="95"/>
      <c r="Q607" s="95"/>
      <c r="R607" s="95"/>
      <c r="S607" s="95"/>
      <c r="T607" s="95"/>
      <c r="U607" s="95"/>
      <c r="V607" s="95"/>
      <c r="W607" s="95"/>
      <c r="X607" s="95"/>
      <c r="Y607" s="95"/>
      <c r="Z607" s="95"/>
    </row>
    <row r="608" ht="15.75" customHeight="1" spans="1:26">
      <c r="A608" s="95">
        <f>dados_01!A608</f>
        <v>0</v>
      </c>
      <c r="B608" s="95">
        <f>dados_01!B608</f>
        <v>0</v>
      </c>
      <c r="C608" s="95" t="str">
        <f>IFERROR(__xludf.DUMMYFUNCTION("JOIN("". "", ARRAYFORMULA(IFERROR(LEFT(SPLIT(dados_01!C608, "" ""), 1))))"),"")</f>
        <v/>
      </c>
      <c r="D608" s="95">
        <f>dados_01!D608</f>
        <v>0</v>
      </c>
      <c r="E608" s="95" t="str">
        <f>CONCATENATE(LEFT(dados_01!E608,3),REPT("*",6),RIGHT(dados_01!E608,2))</f>
        <v>******</v>
      </c>
      <c r="F608" s="95">
        <f>dados_01!F608</f>
        <v>0</v>
      </c>
      <c r="G608" s="95">
        <f>dados_01!G608</f>
        <v>0</v>
      </c>
      <c r="H608" s="95">
        <f>dados_01!H608</f>
        <v>0</v>
      </c>
      <c r="I608" s="95">
        <f>dados_01!I608</f>
        <v>0</v>
      </c>
      <c r="J608" s="95"/>
      <c r="K608" s="95"/>
      <c r="L608" s="95"/>
      <c r="M608" s="95"/>
      <c r="N608" s="95"/>
      <c r="O608" s="95"/>
      <c r="P608" s="95"/>
      <c r="Q608" s="95"/>
      <c r="R608" s="95"/>
      <c r="S608" s="95"/>
      <c r="T608" s="95"/>
      <c r="U608" s="95"/>
      <c r="V608" s="95"/>
      <c r="W608" s="95"/>
      <c r="X608" s="95"/>
      <c r="Y608" s="95"/>
      <c r="Z608" s="95"/>
    </row>
    <row r="609" ht="15.75" customHeight="1" spans="1:26">
      <c r="A609" s="95">
        <f>dados_01!A609</f>
        <v>0</v>
      </c>
      <c r="B609" s="95">
        <f>dados_01!B609</f>
        <v>0</v>
      </c>
      <c r="C609" s="95" t="str">
        <f>IFERROR(__xludf.DUMMYFUNCTION("JOIN("". "", ARRAYFORMULA(IFERROR(LEFT(SPLIT(dados_01!C609, "" ""), 1))))"),"")</f>
        <v/>
      </c>
      <c r="D609" s="95">
        <f>dados_01!D609</f>
        <v>0</v>
      </c>
      <c r="E609" s="95" t="str">
        <f>CONCATENATE(LEFT(dados_01!E609,3),REPT("*",6),RIGHT(dados_01!E609,2))</f>
        <v>******</v>
      </c>
      <c r="F609" s="95">
        <f>dados_01!F609</f>
        <v>0</v>
      </c>
      <c r="G609" s="95">
        <f>dados_01!G609</f>
        <v>0</v>
      </c>
      <c r="H609" s="95">
        <f>dados_01!H609</f>
        <v>0</v>
      </c>
      <c r="I609" s="95">
        <f>dados_01!I609</f>
        <v>0</v>
      </c>
      <c r="J609" s="95"/>
      <c r="K609" s="95"/>
      <c r="L609" s="95"/>
      <c r="M609" s="95"/>
      <c r="N609" s="95"/>
      <c r="O609" s="95"/>
      <c r="P609" s="95"/>
      <c r="Q609" s="95"/>
      <c r="R609" s="95"/>
      <c r="S609" s="95"/>
      <c r="T609" s="95"/>
      <c r="U609" s="95"/>
      <c r="V609" s="95"/>
      <c r="W609" s="95"/>
      <c r="X609" s="95"/>
      <c r="Y609" s="95"/>
      <c r="Z609" s="95"/>
    </row>
    <row r="610" ht="15.75" customHeight="1" spans="1:26">
      <c r="A610" s="95">
        <f>dados_01!A610</f>
        <v>0</v>
      </c>
      <c r="B610" s="95">
        <f>dados_01!B610</f>
        <v>0</v>
      </c>
      <c r="C610" s="95" t="str">
        <f>IFERROR(__xludf.DUMMYFUNCTION("JOIN("". "", ARRAYFORMULA(IFERROR(LEFT(SPLIT(dados_01!C610, "" ""), 1))))"),"")</f>
        <v/>
      </c>
      <c r="D610" s="95">
        <f>dados_01!D610</f>
        <v>0</v>
      </c>
      <c r="E610" s="95" t="str">
        <f>CONCATENATE(LEFT(dados_01!E610,3),REPT("*",6),RIGHT(dados_01!E610,2))</f>
        <v>******</v>
      </c>
      <c r="F610" s="95">
        <f>dados_01!F610</f>
        <v>0</v>
      </c>
      <c r="G610" s="95">
        <f>dados_01!G610</f>
        <v>0</v>
      </c>
      <c r="H610" s="95">
        <f>dados_01!H610</f>
        <v>0</v>
      </c>
      <c r="I610" s="95">
        <f>dados_01!I610</f>
        <v>0</v>
      </c>
      <c r="J610" s="95"/>
      <c r="K610" s="95"/>
      <c r="L610" s="95"/>
      <c r="M610" s="95"/>
      <c r="N610" s="95"/>
      <c r="O610" s="95"/>
      <c r="P610" s="95"/>
      <c r="Q610" s="95"/>
      <c r="R610" s="95"/>
      <c r="S610" s="95"/>
      <c r="T610" s="95"/>
      <c r="U610" s="95"/>
      <c r="V610" s="95"/>
      <c r="W610" s="95"/>
      <c r="X610" s="95"/>
      <c r="Y610" s="95"/>
      <c r="Z610" s="95"/>
    </row>
    <row r="611" ht="15.75" customHeight="1" spans="1:26">
      <c r="A611" s="95">
        <f>dados_01!A611</f>
        <v>0</v>
      </c>
      <c r="B611" s="95">
        <f>dados_01!B611</f>
        <v>0</v>
      </c>
      <c r="C611" s="95" t="str">
        <f>IFERROR(__xludf.DUMMYFUNCTION("JOIN("". "", ARRAYFORMULA(IFERROR(LEFT(SPLIT(dados_01!C611, "" ""), 1))))"),"")</f>
        <v/>
      </c>
      <c r="D611" s="95">
        <f>dados_01!D611</f>
        <v>0</v>
      </c>
      <c r="E611" s="95" t="str">
        <f>CONCATENATE(LEFT(dados_01!E611,3),REPT("*",6),RIGHT(dados_01!E611,2))</f>
        <v>******</v>
      </c>
      <c r="F611" s="95">
        <f>dados_01!F611</f>
        <v>0</v>
      </c>
      <c r="G611" s="95">
        <f>dados_01!G611</f>
        <v>0</v>
      </c>
      <c r="H611" s="95">
        <f>dados_01!H611</f>
        <v>0</v>
      </c>
      <c r="I611" s="95">
        <f>dados_01!I611</f>
        <v>0</v>
      </c>
      <c r="J611" s="95"/>
      <c r="K611" s="95"/>
      <c r="L611" s="95"/>
      <c r="M611" s="95"/>
      <c r="N611" s="95"/>
      <c r="O611" s="95"/>
      <c r="P611" s="95"/>
      <c r="Q611" s="95"/>
      <c r="R611" s="95"/>
      <c r="S611" s="95"/>
      <c r="T611" s="95"/>
      <c r="U611" s="95"/>
      <c r="V611" s="95"/>
      <c r="W611" s="95"/>
      <c r="X611" s="95"/>
      <c r="Y611" s="95"/>
      <c r="Z611" s="95"/>
    </row>
    <row r="612" ht="15.75" customHeight="1" spans="1:26">
      <c r="A612" s="95">
        <f>dados_01!A612</f>
        <v>0</v>
      </c>
      <c r="B612" s="95">
        <f>dados_01!B612</f>
        <v>0</v>
      </c>
      <c r="C612" s="95" t="str">
        <f>IFERROR(__xludf.DUMMYFUNCTION("JOIN("". "", ARRAYFORMULA(IFERROR(LEFT(SPLIT(dados_01!C612, "" ""), 1))))"),"")</f>
        <v/>
      </c>
      <c r="D612" s="95">
        <f>dados_01!D612</f>
        <v>0</v>
      </c>
      <c r="E612" s="95" t="str">
        <f>CONCATENATE(LEFT(dados_01!E612,3),REPT("*",6),RIGHT(dados_01!E612,2))</f>
        <v>******</v>
      </c>
      <c r="F612" s="95">
        <f>dados_01!F612</f>
        <v>0</v>
      </c>
      <c r="G612" s="95">
        <f>dados_01!G612</f>
        <v>0</v>
      </c>
      <c r="H612" s="95">
        <f>dados_01!H612</f>
        <v>0</v>
      </c>
      <c r="I612" s="95">
        <f>dados_01!I612</f>
        <v>0</v>
      </c>
      <c r="J612" s="95"/>
      <c r="K612" s="95"/>
      <c r="L612" s="95"/>
      <c r="M612" s="95"/>
      <c r="N612" s="95"/>
      <c r="O612" s="95"/>
      <c r="P612" s="95"/>
      <c r="Q612" s="95"/>
      <c r="R612" s="95"/>
      <c r="S612" s="95"/>
      <c r="T612" s="95"/>
      <c r="U612" s="95"/>
      <c r="V612" s="95"/>
      <c r="W612" s="95"/>
      <c r="X612" s="95"/>
      <c r="Y612" s="95"/>
      <c r="Z612" s="95"/>
    </row>
    <row r="613" ht="15.75" customHeight="1" spans="1:26">
      <c r="A613" s="95">
        <f>dados_01!A613</f>
        <v>0</v>
      </c>
      <c r="B613" s="95">
        <f>dados_01!B613</f>
        <v>0</v>
      </c>
      <c r="C613" s="95" t="str">
        <f>IFERROR(__xludf.DUMMYFUNCTION("JOIN("". "", ARRAYFORMULA(IFERROR(LEFT(SPLIT(dados_01!C613, "" ""), 1))))"),"")</f>
        <v/>
      </c>
      <c r="D613" s="95">
        <f>dados_01!D613</f>
        <v>0</v>
      </c>
      <c r="E613" s="95" t="str">
        <f>CONCATENATE(LEFT(dados_01!E613,3),REPT("*",6),RIGHT(dados_01!E613,2))</f>
        <v>******</v>
      </c>
      <c r="F613" s="95">
        <f>dados_01!F613</f>
        <v>0</v>
      </c>
      <c r="G613" s="95">
        <f>dados_01!G613</f>
        <v>0</v>
      </c>
      <c r="H613" s="95">
        <f>dados_01!H613</f>
        <v>0</v>
      </c>
      <c r="I613" s="95">
        <f>dados_01!I613</f>
        <v>0</v>
      </c>
      <c r="J613" s="95"/>
      <c r="K613" s="95"/>
      <c r="L613" s="95"/>
      <c r="M613" s="95"/>
      <c r="N613" s="95"/>
      <c r="O613" s="95"/>
      <c r="P613" s="95"/>
      <c r="Q613" s="95"/>
      <c r="R613" s="95"/>
      <c r="S613" s="95"/>
      <c r="T613" s="95"/>
      <c r="U613" s="95"/>
      <c r="V613" s="95"/>
      <c r="W613" s="95"/>
      <c r="X613" s="95"/>
      <c r="Y613" s="95"/>
      <c r="Z613" s="95"/>
    </row>
    <row r="614" ht="15.75" customHeight="1" spans="1:26">
      <c r="A614" s="95">
        <f>dados_01!A614</f>
        <v>0</v>
      </c>
      <c r="B614" s="95">
        <f>dados_01!B614</f>
        <v>0</v>
      </c>
      <c r="C614" s="95" t="str">
        <f>IFERROR(__xludf.DUMMYFUNCTION("JOIN("". "", ARRAYFORMULA(IFERROR(LEFT(SPLIT(dados_01!C614, "" ""), 1))))"),"")</f>
        <v/>
      </c>
      <c r="D614" s="95">
        <f>dados_01!D614</f>
        <v>0</v>
      </c>
      <c r="E614" s="95" t="str">
        <f>CONCATENATE(LEFT(dados_01!E614,3),REPT("*",6),RIGHT(dados_01!E614,2))</f>
        <v>******</v>
      </c>
      <c r="F614" s="95">
        <f>dados_01!F614</f>
        <v>0</v>
      </c>
      <c r="G614" s="95">
        <f>dados_01!G614</f>
        <v>0</v>
      </c>
      <c r="H614" s="95">
        <f>dados_01!H614</f>
        <v>0</v>
      </c>
      <c r="I614" s="95">
        <f>dados_01!I614</f>
        <v>0</v>
      </c>
      <c r="J614" s="95"/>
      <c r="K614" s="95"/>
      <c r="L614" s="95"/>
      <c r="M614" s="95"/>
      <c r="N614" s="95"/>
      <c r="O614" s="95"/>
      <c r="P614" s="95"/>
      <c r="Q614" s="95"/>
      <c r="R614" s="95"/>
      <c r="S614" s="95"/>
      <c r="T614" s="95"/>
      <c r="U614" s="95"/>
      <c r="V614" s="95"/>
      <c r="W614" s="95"/>
      <c r="X614" s="95"/>
      <c r="Y614" s="95"/>
      <c r="Z614" s="95"/>
    </row>
    <row r="615" ht="15.75" customHeight="1" spans="1:26">
      <c r="A615" s="95">
        <f>dados_01!A615</f>
        <v>0</v>
      </c>
      <c r="B615" s="95">
        <f>dados_01!B615</f>
        <v>0</v>
      </c>
      <c r="C615" s="95" t="str">
        <f>IFERROR(__xludf.DUMMYFUNCTION("JOIN("". "", ARRAYFORMULA(IFERROR(LEFT(SPLIT(dados_01!C615, "" ""), 1))))"),"")</f>
        <v/>
      </c>
      <c r="D615" s="95">
        <f>dados_01!D615</f>
        <v>0</v>
      </c>
      <c r="E615" s="95" t="str">
        <f>CONCATENATE(LEFT(dados_01!E615,3),REPT("*",6),RIGHT(dados_01!E615,2))</f>
        <v>******</v>
      </c>
      <c r="F615" s="95">
        <f>dados_01!F615</f>
        <v>0</v>
      </c>
      <c r="G615" s="95">
        <f>dados_01!G615</f>
        <v>0</v>
      </c>
      <c r="H615" s="95">
        <f>dados_01!H615</f>
        <v>0</v>
      </c>
      <c r="I615" s="95">
        <f>dados_01!I615</f>
        <v>0</v>
      </c>
      <c r="J615" s="95"/>
      <c r="K615" s="95"/>
      <c r="L615" s="95"/>
      <c r="M615" s="95"/>
      <c r="N615" s="95"/>
      <c r="O615" s="95"/>
      <c r="P615" s="95"/>
      <c r="Q615" s="95"/>
      <c r="R615" s="95"/>
      <c r="S615" s="95"/>
      <c r="T615" s="95"/>
      <c r="U615" s="95"/>
      <c r="V615" s="95"/>
      <c r="W615" s="95"/>
      <c r="X615" s="95"/>
      <c r="Y615" s="95"/>
      <c r="Z615" s="95"/>
    </row>
    <row r="616" ht="15.75" customHeight="1" spans="1:26">
      <c r="A616" s="95">
        <f>dados_01!A616</f>
        <v>0</v>
      </c>
      <c r="B616" s="95">
        <f>dados_01!B616</f>
        <v>0</v>
      </c>
      <c r="C616" s="95" t="str">
        <f>IFERROR(__xludf.DUMMYFUNCTION("JOIN("". "", ARRAYFORMULA(IFERROR(LEFT(SPLIT(dados_01!C616, "" ""), 1))))"),"")</f>
        <v/>
      </c>
      <c r="D616" s="95">
        <f>dados_01!D616</f>
        <v>0</v>
      </c>
      <c r="E616" s="95" t="str">
        <f>CONCATENATE(LEFT(dados_01!E616,3),REPT("*",6),RIGHT(dados_01!E616,2))</f>
        <v>******</v>
      </c>
      <c r="F616" s="95">
        <f>dados_01!F616</f>
        <v>0</v>
      </c>
      <c r="G616" s="95">
        <f>dados_01!G616</f>
        <v>0</v>
      </c>
      <c r="H616" s="95">
        <f>dados_01!H616</f>
        <v>0</v>
      </c>
      <c r="I616" s="95">
        <f>dados_01!I616</f>
        <v>0</v>
      </c>
      <c r="J616" s="95"/>
      <c r="K616" s="95"/>
      <c r="L616" s="95"/>
      <c r="M616" s="95"/>
      <c r="N616" s="95"/>
      <c r="O616" s="95"/>
      <c r="P616" s="95"/>
      <c r="Q616" s="95"/>
      <c r="R616" s="95"/>
      <c r="S616" s="95"/>
      <c r="T616" s="95"/>
      <c r="U616" s="95"/>
      <c r="V616" s="95"/>
      <c r="W616" s="95"/>
      <c r="X616" s="95"/>
      <c r="Y616" s="95"/>
      <c r="Z616" s="95"/>
    </row>
    <row r="617" ht="15.75" customHeight="1" spans="1:26">
      <c r="A617" s="95">
        <f>dados_01!A617</f>
        <v>0</v>
      </c>
      <c r="B617" s="95">
        <f>dados_01!B617</f>
        <v>0</v>
      </c>
      <c r="C617" s="95" t="str">
        <f>IFERROR(__xludf.DUMMYFUNCTION("JOIN("". "", ARRAYFORMULA(IFERROR(LEFT(SPLIT(dados_01!C617, "" ""), 1))))"),"")</f>
        <v/>
      </c>
      <c r="D617" s="95">
        <f>dados_01!D617</f>
        <v>0</v>
      </c>
      <c r="E617" s="95" t="str">
        <f>CONCATENATE(LEFT(dados_01!E617,3),REPT("*",6),RIGHT(dados_01!E617,2))</f>
        <v>******</v>
      </c>
      <c r="F617" s="95">
        <f>dados_01!F617</f>
        <v>0</v>
      </c>
      <c r="G617" s="95">
        <f>dados_01!G617</f>
        <v>0</v>
      </c>
      <c r="H617" s="95">
        <f>dados_01!H617</f>
        <v>0</v>
      </c>
      <c r="I617" s="95">
        <f>dados_01!I617</f>
        <v>0</v>
      </c>
      <c r="J617" s="95"/>
      <c r="K617" s="95"/>
      <c r="L617" s="95"/>
      <c r="M617" s="95"/>
      <c r="N617" s="95"/>
      <c r="O617" s="95"/>
      <c r="P617" s="95"/>
      <c r="Q617" s="95"/>
      <c r="R617" s="95"/>
      <c r="S617" s="95"/>
      <c r="T617" s="95"/>
      <c r="U617" s="95"/>
      <c r="V617" s="95"/>
      <c r="W617" s="95"/>
      <c r="X617" s="95"/>
      <c r="Y617" s="95"/>
      <c r="Z617" s="95"/>
    </row>
    <row r="618" ht="15.75" customHeight="1" spans="1:26">
      <c r="A618" s="95">
        <f>dados_01!A618</f>
        <v>0</v>
      </c>
      <c r="B618" s="95">
        <f>dados_01!B618</f>
        <v>0</v>
      </c>
      <c r="C618" s="95" t="str">
        <f>IFERROR(__xludf.DUMMYFUNCTION("JOIN("". "", ARRAYFORMULA(IFERROR(LEFT(SPLIT(dados_01!C618, "" ""), 1))))"),"")</f>
        <v/>
      </c>
      <c r="D618" s="95">
        <f>dados_01!D618</f>
        <v>0</v>
      </c>
      <c r="E618" s="95" t="str">
        <f>CONCATENATE(LEFT(dados_01!E618,3),REPT("*",6),RIGHT(dados_01!E618,2))</f>
        <v>******</v>
      </c>
      <c r="F618" s="95">
        <f>dados_01!F618</f>
        <v>0</v>
      </c>
      <c r="G618" s="95">
        <f>dados_01!G618</f>
        <v>0</v>
      </c>
      <c r="H618" s="95">
        <f>dados_01!H618</f>
        <v>0</v>
      </c>
      <c r="I618" s="95">
        <f>dados_01!I618</f>
        <v>0</v>
      </c>
      <c r="J618" s="95"/>
      <c r="K618" s="95"/>
      <c r="L618" s="95"/>
      <c r="M618" s="95"/>
      <c r="N618" s="95"/>
      <c r="O618" s="95"/>
      <c r="P618" s="95"/>
      <c r="Q618" s="95"/>
      <c r="R618" s="95"/>
      <c r="S618" s="95"/>
      <c r="T618" s="95"/>
      <c r="U618" s="95"/>
      <c r="V618" s="95"/>
      <c r="W618" s="95"/>
      <c r="X618" s="95"/>
      <c r="Y618" s="95"/>
      <c r="Z618" s="95"/>
    </row>
    <row r="619" ht="15.75" customHeight="1" spans="1:26">
      <c r="A619" s="95">
        <f>dados_01!A619</f>
        <v>0</v>
      </c>
      <c r="B619" s="95">
        <f>dados_01!B619</f>
        <v>0</v>
      </c>
      <c r="C619" s="95" t="str">
        <f>IFERROR(__xludf.DUMMYFUNCTION("JOIN("". "", ARRAYFORMULA(IFERROR(LEFT(SPLIT(dados_01!C619, "" ""), 1))))"),"")</f>
        <v/>
      </c>
      <c r="D619" s="95">
        <f>dados_01!D619</f>
        <v>0</v>
      </c>
      <c r="E619" s="95" t="str">
        <f>CONCATENATE(LEFT(dados_01!E619,3),REPT("*",6),RIGHT(dados_01!E619,2))</f>
        <v>******</v>
      </c>
      <c r="F619" s="95">
        <f>dados_01!F619</f>
        <v>0</v>
      </c>
      <c r="G619" s="95">
        <f>dados_01!G619</f>
        <v>0</v>
      </c>
      <c r="H619" s="95">
        <f>dados_01!H619</f>
        <v>0</v>
      </c>
      <c r="I619" s="95">
        <f>dados_01!I619</f>
        <v>0</v>
      </c>
      <c r="J619" s="95"/>
      <c r="K619" s="95"/>
      <c r="L619" s="95"/>
      <c r="M619" s="95"/>
      <c r="N619" s="95"/>
      <c r="O619" s="95"/>
      <c r="P619" s="95"/>
      <c r="Q619" s="95"/>
      <c r="R619" s="95"/>
      <c r="S619" s="95"/>
      <c r="T619" s="95"/>
      <c r="U619" s="95"/>
      <c r="V619" s="95"/>
      <c r="W619" s="95"/>
      <c r="X619" s="95"/>
      <c r="Y619" s="95"/>
      <c r="Z619" s="95"/>
    </row>
    <row r="620" ht="15.75" customHeight="1" spans="1:26">
      <c r="A620" s="95">
        <f>dados_01!A620</f>
        <v>0</v>
      </c>
      <c r="B620" s="95">
        <f>dados_01!B620</f>
        <v>0</v>
      </c>
      <c r="C620" s="95" t="str">
        <f>IFERROR(__xludf.DUMMYFUNCTION("JOIN("". "", ARRAYFORMULA(IFERROR(LEFT(SPLIT(dados_01!C620, "" ""), 1))))"),"")</f>
        <v/>
      </c>
      <c r="D620" s="95">
        <f>dados_01!D620</f>
        <v>0</v>
      </c>
      <c r="E620" s="95" t="str">
        <f>CONCATENATE(LEFT(dados_01!E620,3),REPT("*",6),RIGHT(dados_01!E620,2))</f>
        <v>******</v>
      </c>
      <c r="F620" s="95">
        <f>dados_01!F620</f>
        <v>0</v>
      </c>
      <c r="G620" s="95">
        <f>dados_01!G620</f>
        <v>0</v>
      </c>
      <c r="H620" s="95">
        <f>dados_01!H620</f>
        <v>0</v>
      </c>
      <c r="I620" s="95">
        <f>dados_01!I620</f>
        <v>0</v>
      </c>
      <c r="J620" s="95"/>
      <c r="K620" s="95"/>
      <c r="L620" s="95"/>
      <c r="M620" s="95"/>
      <c r="N620" s="95"/>
      <c r="O620" s="95"/>
      <c r="P620" s="95"/>
      <c r="Q620" s="95"/>
      <c r="R620" s="95"/>
      <c r="S620" s="95"/>
      <c r="T620" s="95"/>
      <c r="U620" s="95"/>
      <c r="V620" s="95"/>
      <c r="W620" s="95"/>
      <c r="X620" s="95"/>
      <c r="Y620" s="95"/>
      <c r="Z620" s="95"/>
    </row>
    <row r="621" ht="15.75" customHeight="1" spans="1:26">
      <c r="A621" s="95">
        <f>dados_01!A621</f>
        <v>0</v>
      </c>
      <c r="B621" s="95">
        <f>dados_01!B621</f>
        <v>0</v>
      </c>
      <c r="C621" s="95" t="str">
        <f>IFERROR(__xludf.DUMMYFUNCTION("JOIN("". "", ARRAYFORMULA(IFERROR(LEFT(SPLIT(dados_01!C621, "" ""), 1))))"),"")</f>
        <v/>
      </c>
      <c r="D621" s="95">
        <f>dados_01!D621</f>
        <v>0</v>
      </c>
      <c r="E621" s="95" t="str">
        <f>CONCATENATE(LEFT(dados_01!E621,3),REPT("*",6),RIGHT(dados_01!E621,2))</f>
        <v>******</v>
      </c>
      <c r="F621" s="95">
        <f>dados_01!F621</f>
        <v>0</v>
      </c>
      <c r="G621" s="95">
        <f>dados_01!G621</f>
        <v>0</v>
      </c>
      <c r="H621" s="95">
        <f>dados_01!H621</f>
        <v>0</v>
      </c>
      <c r="I621" s="95">
        <f>dados_01!I621</f>
        <v>0</v>
      </c>
      <c r="J621" s="95"/>
      <c r="K621" s="95"/>
      <c r="L621" s="95"/>
      <c r="M621" s="95"/>
      <c r="N621" s="95"/>
      <c r="O621" s="95"/>
      <c r="P621" s="95"/>
      <c r="Q621" s="95"/>
      <c r="R621" s="95"/>
      <c r="S621" s="95"/>
      <c r="T621" s="95"/>
      <c r="U621" s="95"/>
      <c r="V621" s="95"/>
      <c r="W621" s="95"/>
      <c r="X621" s="95"/>
      <c r="Y621" s="95"/>
      <c r="Z621" s="95"/>
    </row>
    <row r="622" ht="15.75" customHeight="1" spans="1:26">
      <c r="A622" s="95">
        <f>dados_01!A622</f>
        <v>0</v>
      </c>
      <c r="B622" s="95">
        <f>dados_01!B622</f>
        <v>0</v>
      </c>
      <c r="C622" s="95" t="str">
        <f>IFERROR(__xludf.DUMMYFUNCTION("JOIN("". "", ARRAYFORMULA(IFERROR(LEFT(SPLIT(dados_01!C622, "" ""), 1))))"),"")</f>
        <v/>
      </c>
      <c r="D622" s="95">
        <f>dados_01!D622</f>
        <v>0</v>
      </c>
      <c r="E622" s="95" t="str">
        <f>CONCATENATE(LEFT(dados_01!E622,3),REPT("*",6),RIGHT(dados_01!E622,2))</f>
        <v>******</v>
      </c>
      <c r="F622" s="95">
        <f>dados_01!F622</f>
        <v>0</v>
      </c>
      <c r="G622" s="95">
        <f>dados_01!G622</f>
        <v>0</v>
      </c>
      <c r="H622" s="95">
        <f>dados_01!H622</f>
        <v>0</v>
      </c>
      <c r="I622" s="95">
        <f>dados_01!I622</f>
        <v>0</v>
      </c>
      <c r="J622" s="95"/>
      <c r="K622" s="95"/>
      <c r="L622" s="95"/>
      <c r="M622" s="95"/>
      <c r="N622" s="95"/>
      <c r="O622" s="95"/>
      <c r="P622" s="95"/>
      <c r="Q622" s="95"/>
      <c r="R622" s="95"/>
      <c r="S622" s="95"/>
      <c r="T622" s="95"/>
      <c r="U622" s="95"/>
      <c r="V622" s="95"/>
      <c r="W622" s="95"/>
      <c r="X622" s="95"/>
      <c r="Y622" s="95"/>
      <c r="Z622" s="95"/>
    </row>
    <row r="623" ht="15.75" customHeight="1" spans="1:26">
      <c r="A623" s="95">
        <f>dados_01!A623</f>
        <v>0</v>
      </c>
      <c r="B623" s="95">
        <f>dados_01!B623</f>
        <v>0</v>
      </c>
      <c r="C623" s="95" t="str">
        <f>IFERROR(__xludf.DUMMYFUNCTION("JOIN("". "", ARRAYFORMULA(IFERROR(LEFT(SPLIT(dados_01!C623, "" ""), 1))))"),"")</f>
        <v/>
      </c>
      <c r="D623" s="95">
        <f>dados_01!D623</f>
        <v>0</v>
      </c>
      <c r="E623" s="95" t="str">
        <f>CONCATENATE(LEFT(dados_01!E623,3),REPT("*",6),RIGHT(dados_01!E623,2))</f>
        <v>******</v>
      </c>
      <c r="F623" s="95">
        <f>dados_01!F623</f>
        <v>0</v>
      </c>
      <c r="G623" s="95">
        <f>dados_01!G623</f>
        <v>0</v>
      </c>
      <c r="H623" s="95">
        <f>dados_01!H623</f>
        <v>0</v>
      </c>
      <c r="I623" s="95">
        <f>dados_01!I623</f>
        <v>0</v>
      </c>
      <c r="J623" s="95"/>
      <c r="K623" s="95"/>
      <c r="L623" s="95"/>
      <c r="M623" s="95"/>
      <c r="N623" s="95"/>
      <c r="O623" s="95"/>
      <c r="P623" s="95"/>
      <c r="Q623" s="95"/>
      <c r="R623" s="95"/>
      <c r="S623" s="95"/>
      <c r="T623" s="95"/>
      <c r="U623" s="95"/>
      <c r="V623" s="95"/>
      <c r="W623" s="95"/>
      <c r="X623" s="95"/>
      <c r="Y623" s="95"/>
      <c r="Z623" s="95"/>
    </row>
    <row r="624" ht="15.75" customHeight="1" spans="1:26">
      <c r="A624" s="95">
        <f>dados_01!A624</f>
        <v>0</v>
      </c>
      <c r="B624" s="95">
        <f>dados_01!B624</f>
        <v>0</v>
      </c>
      <c r="C624" s="95" t="str">
        <f>IFERROR(__xludf.DUMMYFUNCTION("JOIN("". "", ARRAYFORMULA(IFERROR(LEFT(SPLIT(dados_01!C624, "" ""), 1))))"),"")</f>
        <v/>
      </c>
      <c r="D624" s="95">
        <f>dados_01!D624</f>
        <v>0</v>
      </c>
      <c r="E624" s="95" t="str">
        <f>CONCATENATE(LEFT(dados_01!E624,3),REPT("*",6),RIGHT(dados_01!E624,2))</f>
        <v>******</v>
      </c>
      <c r="F624" s="95">
        <f>dados_01!F624</f>
        <v>0</v>
      </c>
      <c r="G624" s="95">
        <f>dados_01!G624</f>
        <v>0</v>
      </c>
      <c r="H624" s="95">
        <f>dados_01!H624</f>
        <v>0</v>
      </c>
      <c r="I624" s="95">
        <f>dados_01!I624</f>
        <v>0</v>
      </c>
      <c r="J624" s="95"/>
      <c r="K624" s="95"/>
      <c r="L624" s="95"/>
      <c r="M624" s="95"/>
      <c r="N624" s="95"/>
      <c r="O624" s="95"/>
      <c r="P624" s="95"/>
      <c r="Q624" s="95"/>
      <c r="R624" s="95"/>
      <c r="S624" s="95"/>
      <c r="T624" s="95"/>
      <c r="U624" s="95"/>
      <c r="V624" s="95"/>
      <c r="W624" s="95"/>
      <c r="X624" s="95"/>
      <c r="Y624" s="95"/>
      <c r="Z624" s="95"/>
    </row>
    <row r="625" ht="15.75" customHeight="1" spans="1:26">
      <c r="A625" s="95">
        <f>dados_01!A625</f>
        <v>0</v>
      </c>
      <c r="B625" s="95">
        <f>dados_01!B625</f>
        <v>0</v>
      </c>
      <c r="C625" s="95" t="str">
        <f>IFERROR(__xludf.DUMMYFUNCTION("JOIN("". "", ARRAYFORMULA(IFERROR(LEFT(SPLIT(dados_01!C625, "" ""), 1))))"),"")</f>
        <v/>
      </c>
      <c r="D625" s="95">
        <f>dados_01!D625</f>
        <v>0</v>
      </c>
      <c r="E625" s="95" t="str">
        <f>CONCATENATE(LEFT(dados_01!E625,3),REPT("*",6),RIGHT(dados_01!E625,2))</f>
        <v>******</v>
      </c>
      <c r="F625" s="95">
        <f>dados_01!F625</f>
        <v>0</v>
      </c>
      <c r="G625" s="95">
        <f>dados_01!G625</f>
        <v>0</v>
      </c>
      <c r="H625" s="95">
        <f>dados_01!H625</f>
        <v>0</v>
      </c>
      <c r="I625" s="95">
        <f>dados_01!I625</f>
        <v>0</v>
      </c>
      <c r="J625" s="95"/>
      <c r="K625" s="95"/>
      <c r="L625" s="95"/>
      <c r="M625" s="95"/>
      <c r="N625" s="95"/>
      <c r="O625" s="95"/>
      <c r="P625" s="95"/>
      <c r="Q625" s="95"/>
      <c r="R625" s="95"/>
      <c r="S625" s="95"/>
      <c r="T625" s="95"/>
      <c r="U625" s="95"/>
      <c r="V625" s="95"/>
      <c r="W625" s="95"/>
      <c r="X625" s="95"/>
      <c r="Y625" s="95"/>
      <c r="Z625" s="95"/>
    </row>
    <row r="626" ht="15.75" customHeight="1" spans="1:26">
      <c r="A626" s="95">
        <f>dados_01!A626</f>
        <v>0</v>
      </c>
      <c r="B626" s="95">
        <f>dados_01!B626</f>
        <v>0</v>
      </c>
      <c r="C626" s="95" t="str">
        <f>IFERROR(__xludf.DUMMYFUNCTION("JOIN("". "", ARRAYFORMULA(IFERROR(LEFT(SPLIT(dados_01!C626, "" ""), 1))))"),"")</f>
        <v/>
      </c>
      <c r="D626" s="95">
        <f>dados_01!D626</f>
        <v>0</v>
      </c>
      <c r="E626" s="95" t="str">
        <f>CONCATENATE(LEFT(dados_01!E626,3),REPT("*",6),RIGHT(dados_01!E626,2))</f>
        <v>******</v>
      </c>
      <c r="F626" s="95">
        <f>dados_01!F626</f>
        <v>0</v>
      </c>
      <c r="G626" s="95">
        <f>dados_01!G626</f>
        <v>0</v>
      </c>
      <c r="H626" s="95">
        <f>dados_01!H626</f>
        <v>0</v>
      </c>
      <c r="I626" s="95">
        <f>dados_01!I626</f>
        <v>0</v>
      </c>
      <c r="J626" s="95"/>
      <c r="K626" s="95"/>
      <c r="L626" s="95"/>
      <c r="M626" s="95"/>
      <c r="N626" s="95"/>
      <c r="O626" s="95"/>
      <c r="P626" s="95"/>
      <c r="Q626" s="95"/>
      <c r="R626" s="95"/>
      <c r="S626" s="95"/>
      <c r="T626" s="95"/>
      <c r="U626" s="95"/>
      <c r="V626" s="95"/>
      <c r="W626" s="95"/>
      <c r="X626" s="95"/>
      <c r="Y626" s="95"/>
      <c r="Z626" s="95"/>
    </row>
    <row r="627" ht="15.75" customHeight="1" spans="1:26">
      <c r="A627" s="95">
        <f>dados_01!A627</f>
        <v>0</v>
      </c>
      <c r="B627" s="95">
        <f>dados_01!B627</f>
        <v>0</v>
      </c>
      <c r="C627" s="95" t="str">
        <f>IFERROR(__xludf.DUMMYFUNCTION("JOIN("". "", ARRAYFORMULA(IFERROR(LEFT(SPLIT(dados_01!C627, "" ""), 1))))"),"")</f>
        <v/>
      </c>
      <c r="D627" s="95">
        <f>dados_01!D627</f>
        <v>0</v>
      </c>
      <c r="E627" s="95" t="str">
        <f>CONCATENATE(LEFT(dados_01!E627,3),REPT("*",6),RIGHT(dados_01!E627,2))</f>
        <v>******</v>
      </c>
      <c r="F627" s="95">
        <f>dados_01!F627</f>
        <v>0</v>
      </c>
      <c r="G627" s="95">
        <f>dados_01!G627</f>
        <v>0</v>
      </c>
      <c r="H627" s="95">
        <f>dados_01!H627</f>
        <v>0</v>
      </c>
      <c r="I627" s="95">
        <f>dados_01!I627</f>
        <v>0</v>
      </c>
      <c r="J627" s="95"/>
      <c r="K627" s="95"/>
      <c r="L627" s="95"/>
      <c r="M627" s="95"/>
      <c r="N627" s="95"/>
      <c r="O627" s="95"/>
      <c r="P627" s="95"/>
      <c r="Q627" s="95"/>
      <c r="R627" s="95"/>
      <c r="S627" s="95"/>
      <c r="T627" s="95"/>
      <c r="U627" s="95"/>
      <c r="V627" s="95"/>
      <c r="W627" s="95"/>
      <c r="X627" s="95"/>
      <c r="Y627" s="95"/>
      <c r="Z627" s="95"/>
    </row>
    <row r="628" ht="15.75" customHeight="1" spans="1:26">
      <c r="A628" s="95">
        <f>dados_01!A628</f>
        <v>0</v>
      </c>
      <c r="B628" s="95">
        <f>dados_01!B628</f>
        <v>0</v>
      </c>
      <c r="C628" s="95" t="str">
        <f>IFERROR(__xludf.DUMMYFUNCTION("JOIN("". "", ARRAYFORMULA(IFERROR(LEFT(SPLIT(dados_01!C628, "" ""), 1))))"),"")</f>
        <v/>
      </c>
      <c r="D628" s="95">
        <f>dados_01!D628</f>
        <v>0</v>
      </c>
      <c r="E628" s="95" t="str">
        <f>CONCATENATE(LEFT(dados_01!E628,3),REPT("*",6),RIGHT(dados_01!E628,2))</f>
        <v>******</v>
      </c>
      <c r="F628" s="95">
        <f>dados_01!F628</f>
        <v>0</v>
      </c>
      <c r="G628" s="95">
        <f>dados_01!G628</f>
        <v>0</v>
      </c>
      <c r="H628" s="95">
        <f>dados_01!H628</f>
        <v>0</v>
      </c>
      <c r="I628" s="95">
        <f>dados_01!I628</f>
        <v>0</v>
      </c>
      <c r="J628" s="95"/>
      <c r="K628" s="95"/>
      <c r="L628" s="95"/>
      <c r="M628" s="95"/>
      <c r="N628" s="95"/>
      <c r="O628" s="95"/>
      <c r="P628" s="95"/>
      <c r="Q628" s="95"/>
      <c r="R628" s="95"/>
      <c r="S628" s="95"/>
      <c r="T628" s="95"/>
      <c r="U628" s="95"/>
      <c r="V628" s="95"/>
      <c r="W628" s="95"/>
      <c r="X628" s="95"/>
      <c r="Y628" s="95"/>
      <c r="Z628" s="95"/>
    </row>
    <row r="629" ht="15.75" customHeight="1" spans="1:26">
      <c r="A629" s="95">
        <f>dados_01!A629</f>
        <v>0</v>
      </c>
      <c r="B629" s="95">
        <f>dados_01!B629</f>
        <v>0</v>
      </c>
      <c r="C629" s="95" t="str">
        <f>IFERROR(__xludf.DUMMYFUNCTION("JOIN("". "", ARRAYFORMULA(IFERROR(LEFT(SPLIT(dados_01!C629, "" ""), 1))))"),"")</f>
        <v/>
      </c>
      <c r="D629" s="95">
        <f>dados_01!D629</f>
        <v>0</v>
      </c>
      <c r="E629" s="95" t="str">
        <f>CONCATENATE(LEFT(dados_01!E629,3),REPT("*",6),RIGHT(dados_01!E629,2))</f>
        <v>******</v>
      </c>
      <c r="F629" s="95">
        <f>dados_01!F629</f>
        <v>0</v>
      </c>
      <c r="G629" s="95">
        <f>dados_01!G629</f>
        <v>0</v>
      </c>
      <c r="H629" s="95">
        <f>dados_01!H629</f>
        <v>0</v>
      </c>
      <c r="I629" s="95">
        <f>dados_01!I629</f>
        <v>0</v>
      </c>
      <c r="J629" s="95"/>
      <c r="K629" s="95"/>
      <c r="L629" s="95"/>
      <c r="M629" s="95"/>
      <c r="N629" s="95"/>
      <c r="O629" s="95"/>
      <c r="P629" s="95"/>
      <c r="Q629" s="95"/>
      <c r="R629" s="95"/>
      <c r="S629" s="95"/>
      <c r="T629" s="95"/>
      <c r="U629" s="95"/>
      <c r="V629" s="95"/>
      <c r="W629" s="95"/>
      <c r="X629" s="95"/>
      <c r="Y629" s="95"/>
      <c r="Z629" s="95"/>
    </row>
    <row r="630" ht="15.75" customHeight="1" spans="1:26">
      <c r="A630" s="95">
        <f>dados_01!A630</f>
        <v>0</v>
      </c>
      <c r="B630" s="95">
        <f>dados_01!B630</f>
        <v>0</v>
      </c>
      <c r="C630" s="95" t="str">
        <f>IFERROR(__xludf.DUMMYFUNCTION("JOIN("". "", ARRAYFORMULA(IFERROR(LEFT(SPLIT(dados_01!C630, "" ""), 1))))"),"")</f>
        <v/>
      </c>
      <c r="D630" s="95">
        <f>dados_01!D630</f>
        <v>0</v>
      </c>
      <c r="E630" s="95" t="str">
        <f>CONCATENATE(LEFT(dados_01!E630,3),REPT("*",6),RIGHT(dados_01!E630,2))</f>
        <v>******</v>
      </c>
      <c r="F630" s="95">
        <f>dados_01!F630</f>
        <v>0</v>
      </c>
      <c r="G630" s="95">
        <f>dados_01!G630</f>
        <v>0</v>
      </c>
      <c r="H630" s="95">
        <f>dados_01!H630</f>
        <v>0</v>
      </c>
      <c r="I630" s="95">
        <f>dados_01!I630</f>
        <v>0</v>
      </c>
      <c r="J630" s="95"/>
      <c r="K630" s="95"/>
      <c r="L630" s="95"/>
      <c r="M630" s="95"/>
      <c r="N630" s="95"/>
      <c r="O630" s="95"/>
      <c r="P630" s="95"/>
      <c r="Q630" s="95"/>
      <c r="R630" s="95"/>
      <c r="S630" s="95"/>
      <c r="T630" s="95"/>
      <c r="U630" s="95"/>
      <c r="V630" s="95"/>
      <c r="W630" s="95"/>
      <c r="X630" s="95"/>
      <c r="Y630" s="95"/>
      <c r="Z630" s="95"/>
    </row>
    <row r="631" ht="15.75" customHeight="1" spans="1:26">
      <c r="A631" s="95">
        <f>dados_01!A631</f>
        <v>0</v>
      </c>
      <c r="B631" s="95">
        <f>dados_01!B631</f>
        <v>0</v>
      </c>
      <c r="C631" s="95" t="str">
        <f>IFERROR(__xludf.DUMMYFUNCTION("JOIN("". "", ARRAYFORMULA(IFERROR(LEFT(SPLIT(dados_01!C631, "" ""), 1))))"),"")</f>
        <v/>
      </c>
      <c r="D631" s="95">
        <f>dados_01!D631</f>
        <v>0</v>
      </c>
      <c r="E631" s="95" t="str">
        <f>CONCATENATE(LEFT(dados_01!E631,3),REPT("*",6),RIGHT(dados_01!E631,2))</f>
        <v>******</v>
      </c>
      <c r="F631" s="95">
        <f>dados_01!F631</f>
        <v>0</v>
      </c>
      <c r="G631" s="95">
        <f>dados_01!G631</f>
        <v>0</v>
      </c>
      <c r="H631" s="95">
        <f>dados_01!H631</f>
        <v>0</v>
      </c>
      <c r="I631" s="95">
        <f>dados_01!I631</f>
        <v>0</v>
      </c>
      <c r="J631" s="95"/>
      <c r="K631" s="95"/>
      <c r="L631" s="95"/>
      <c r="M631" s="95"/>
      <c r="N631" s="95"/>
      <c r="O631" s="95"/>
      <c r="P631" s="95"/>
      <c r="Q631" s="95"/>
      <c r="R631" s="95"/>
      <c r="S631" s="95"/>
      <c r="T631" s="95"/>
      <c r="U631" s="95"/>
      <c r="V631" s="95"/>
      <c r="W631" s="95"/>
      <c r="X631" s="95"/>
      <c r="Y631" s="95"/>
      <c r="Z631" s="95"/>
    </row>
    <row r="632" ht="15.75" customHeight="1" spans="1:26">
      <c r="A632" s="95">
        <f>dados_01!A632</f>
        <v>0</v>
      </c>
      <c r="B632" s="95">
        <f>dados_01!B632</f>
        <v>0</v>
      </c>
      <c r="C632" s="95" t="str">
        <f>IFERROR(__xludf.DUMMYFUNCTION("JOIN("". "", ARRAYFORMULA(IFERROR(LEFT(SPLIT(dados_01!C632, "" ""), 1))))"),"")</f>
        <v/>
      </c>
      <c r="D632" s="95">
        <f>dados_01!D632</f>
        <v>0</v>
      </c>
      <c r="E632" s="95" t="str">
        <f>CONCATENATE(LEFT(dados_01!E632,3),REPT("*",6),RIGHT(dados_01!E632,2))</f>
        <v>******</v>
      </c>
      <c r="F632" s="95">
        <f>dados_01!F632</f>
        <v>0</v>
      </c>
      <c r="G632" s="95">
        <f>dados_01!G632</f>
        <v>0</v>
      </c>
      <c r="H632" s="95">
        <f>dados_01!H632</f>
        <v>0</v>
      </c>
      <c r="I632" s="95">
        <f>dados_01!I632</f>
        <v>0</v>
      </c>
      <c r="J632" s="95"/>
      <c r="K632" s="95"/>
      <c r="L632" s="95"/>
      <c r="M632" s="95"/>
      <c r="N632" s="95"/>
      <c r="O632" s="95"/>
      <c r="P632" s="95"/>
      <c r="Q632" s="95"/>
      <c r="R632" s="95"/>
      <c r="S632" s="95"/>
      <c r="T632" s="95"/>
      <c r="U632" s="95"/>
      <c r="V632" s="95"/>
      <c r="W632" s="95"/>
      <c r="X632" s="95"/>
      <c r="Y632" s="95"/>
      <c r="Z632" s="95"/>
    </row>
    <row r="633" ht="15.75" customHeight="1" spans="1:26">
      <c r="A633" s="95">
        <f>dados_01!A633</f>
        <v>0</v>
      </c>
      <c r="B633" s="95">
        <f>dados_01!B633</f>
        <v>0</v>
      </c>
      <c r="C633" s="95" t="str">
        <f>IFERROR(__xludf.DUMMYFUNCTION("JOIN("". "", ARRAYFORMULA(IFERROR(LEFT(SPLIT(dados_01!C633, "" ""), 1))))"),"")</f>
        <v/>
      </c>
      <c r="D633" s="95">
        <f>dados_01!D633</f>
        <v>0</v>
      </c>
      <c r="E633" s="95" t="str">
        <f>CONCATENATE(LEFT(dados_01!E633,3),REPT("*",6),RIGHT(dados_01!E633,2))</f>
        <v>******</v>
      </c>
      <c r="F633" s="95">
        <f>dados_01!F633</f>
        <v>0</v>
      </c>
      <c r="G633" s="95">
        <f>dados_01!G633</f>
        <v>0</v>
      </c>
      <c r="H633" s="95">
        <f>dados_01!H633</f>
        <v>0</v>
      </c>
      <c r="I633" s="95">
        <f>dados_01!I633</f>
        <v>0</v>
      </c>
      <c r="J633" s="95"/>
      <c r="K633" s="95"/>
      <c r="L633" s="95"/>
      <c r="M633" s="95"/>
      <c r="N633" s="95"/>
      <c r="O633" s="95"/>
      <c r="P633" s="95"/>
      <c r="Q633" s="95"/>
      <c r="R633" s="95"/>
      <c r="S633" s="95"/>
      <c r="T633" s="95"/>
      <c r="U633" s="95"/>
      <c r="V633" s="95"/>
      <c r="W633" s="95"/>
      <c r="X633" s="95"/>
      <c r="Y633" s="95"/>
      <c r="Z633" s="95"/>
    </row>
    <row r="634" ht="15.75" customHeight="1" spans="1:26">
      <c r="A634" s="95">
        <f>dados_01!A634</f>
        <v>0</v>
      </c>
      <c r="B634" s="95">
        <f>dados_01!B634</f>
        <v>0</v>
      </c>
      <c r="C634" s="95" t="str">
        <f>IFERROR(__xludf.DUMMYFUNCTION("JOIN("". "", ARRAYFORMULA(IFERROR(LEFT(SPLIT(dados_01!C634, "" ""), 1))))"),"")</f>
        <v/>
      </c>
      <c r="D634" s="95">
        <f>dados_01!D634</f>
        <v>0</v>
      </c>
      <c r="E634" s="95" t="str">
        <f>CONCATENATE(LEFT(dados_01!E634,3),REPT("*",6),RIGHT(dados_01!E634,2))</f>
        <v>******</v>
      </c>
      <c r="F634" s="95">
        <f>dados_01!F634</f>
        <v>0</v>
      </c>
      <c r="G634" s="95">
        <f>dados_01!G634</f>
        <v>0</v>
      </c>
      <c r="H634" s="95">
        <f>dados_01!H634</f>
        <v>0</v>
      </c>
      <c r="I634" s="95">
        <f>dados_01!I634</f>
        <v>0</v>
      </c>
      <c r="J634" s="95"/>
      <c r="K634" s="95"/>
      <c r="L634" s="95"/>
      <c r="M634" s="95"/>
      <c r="N634" s="95"/>
      <c r="O634" s="95"/>
      <c r="P634" s="95"/>
      <c r="Q634" s="95"/>
      <c r="R634" s="95"/>
      <c r="S634" s="95"/>
      <c r="T634" s="95"/>
      <c r="U634" s="95"/>
      <c r="V634" s="95"/>
      <c r="W634" s="95"/>
      <c r="X634" s="95"/>
      <c r="Y634" s="95"/>
      <c r="Z634" s="95"/>
    </row>
    <row r="635" ht="15.75" customHeight="1" spans="1:26">
      <c r="A635" s="95">
        <f>dados_01!A635</f>
        <v>0</v>
      </c>
      <c r="B635" s="95">
        <f>dados_01!B635</f>
        <v>0</v>
      </c>
      <c r="C635" s="95" t="str">
        <f>IFERROR(__xludf.DUMMYFUNCTION("JOIN("". "", ARRAYFORMULA(IFERROR(LEFT(SPLIT(dados_01!C635, "" ""), 1))))"),"")</f>
        <v/>
      </c>
      <c r="D635" s="95">
        <f>dados_01!D635</f>
        <v>0</v>
      </c>
      <c r="E635" s="95" t="str">
        <f>CONCATENATE(LEFT(dados_01!E635,3),REPT("*",6),RIGHT(dados_01!E635,2))</f>
        <v>******</v>
      </c>
      <c r="F635" s="95">
        <f>dados_01!F635</f>
        <v>0</v>
      </c>
      <c r="G635" s="95">
        <f>dados_01!G635</f>
        <v>0</v>
      </c>
      <c r="H635" s="95">
        <f>dados_01!H635</f>
        <v>0</v>
      </c>
      <c r="I635" s="95">
        <f>dados_01!I635</f>
        <v>0</v>
      </c>
      <c r="J635" s="95"/>
      <c r="K635" s="95"/>
      <c r="L635" s="95"/>
      <c r="M635" s="95"/>
      <c r="N635" s="95"/>
      <c r="O635" s="95"/>
      <c r="P635" s="95"/>
      <c r="Q635" s="95"/>
      <c r="R635" s="95"/>
      <c r="S635" s="95"/>
      <c r="T635" s="95"/>
      <c r="U635" s="95"/>
      <c r="V635" s="95"/>
      <c r="W635" s="95"/>
      <c r="X635" s="95"/>
      <c r="Y635" s="95"/>
      <c r="Z635" s="95"/>
    </row>
    <row r="636" ht="15.75" customHeight="1" spans="1:26">
      <c r="A636" s="95">
        <f>dados_01!A636</f>
        <v>0</v>
      </c>
      <c r="B636" s="95">
        <f>dados_01!B636</f>
        <v>0</v>
      </c>
      <c r="C636" s="95" t="str">
        <f>IFERROR(__xludf.DUMMYFUNCTION("JOIN("". "", ARRAYFORMULA(IFERROR(LEFT(SPLIT(dados_01!C636, "" ""), 1))))"),"")</f>
        <v/>
      </c>
      <c r="D636" s="95">
        <f>dados_01!D636</f>
        <v>0</v>
      </c>
      <c r="E636" s="95" t="str">
        <f>CONCATENATE(LEFT(dados_01!E636,3),REPT("*",6),RIGHT(dados_01!E636,2))</f>
        <v>******</v>
      </c>
      <c r="F636" s="95">
        <f>dados_01!F636</f>
        <v>0</v>
      </c>
      <c r="G636" s="95">
        <f>dados_01!G636</f>
        <v>0</v>
      </c>
      <c r="H636" s="95">
        <f>dados_01!H636</f>
        <v>0</v>
      </c>
      <c r="I636" s="95">
        <f>dados_01!I636</f>
        <v>0</v>
      </c>
      <c r="J636" s="95"/>
      <c r="K636" s="95"/>
      <c r="L636" s="95"/>
      <c r="M636" s="95"/>
      <c r="N636" s="95"/>
      <c r="O636" s="95"/>
      <c r="P636" s="95"/>
      <c r="Q636" s="95"/>
      <c r="R636" s="95"/>
      <c r="S636" s="95"/>
      <c r="T636" s="95"/>
      <c r="U636" s="95"/>
      <c r="V636" s="95"/>
      <c r="W636" s="95"/>
      <c r="X636" s="95"/>
      <c r="Y636" s="95"/>
      <c r="Z636" s="95"/>
    </row>
    <row r="637" ht="15.75" customHeight="1" spans="1:26">
      <c r="A637" s="95">
        <f>dados_01!A637</f>
        <v>0</v>
      </c>
      <c r="B637" s="95">
        <f>dados_01!B637</f>
        <v>0</v>
      </c>
      <c r="C637" s="95" t="str">
        <f>IFERROR(__xludf.DUMMYFUNCTION("JOIN("". "", ARRAYFORMULA(IFERROR(LEFT(SPLIT(dados_01!C637, "" ""), 1))))"),"")</f>
        <v/>
      </c>
      <c r="D637" s="95">
        <f>dados_01!D637</f>
        <v>0</v>
      </c>
      <c r="E637" s="95" t="str">
        <f>CONCATENATE(LEFT(dados_01!E637,3),REPT("*",6),RIGHT(dados_01!E637,2))</f>
        <v>******</v>
      </c>
      <c r="F637" s="95">
        <f>dados_01!F637</f>
        <v>0</v>
      </c>
      <c r="G637" s="95">
        <f>dados_01!G637</f>
        <v>0</v>
      </c>
      <c r="H637" s="95">
        <f>dados_01!H637</f>
        <v>0</v>
      </c>
      <c r="I637" s="95">
        <f>dados_01!I637</f>
        <v>0</v>
      </c>
      <c r="J637" s="95"/>
      <c r="K637" s="95"/>
      <c r="L637" s="95"/>
      <c r="M637" s="95"/>
      <c r="N637" s="95"/>
      <c r="O637" s="95"/>
      <c r="P637" s="95"/>
      <c r="Q637" s="95"/>
      <c r="R637" s="95"/>
      <c r="S637" s="95"/>
      <c r="T637" s="95"/>
      <c r="U637" s="95"/>
      <c r="V637" s="95"/>
      <c r="W637" s="95"/>
      <c r="X637" s="95"/>
      <c r="Y637" s="95"/>
      <c r="Z637" s="95"/>
    </row>
    <row r="638" ht="15.75" customHeight="1" spans="1:26">
      <c r="A638" s="95">
        <f>dados_01!A638</f>
        <v>0</v>
      </c>
      <c r="B638" s="95">
        <f>dados_01!B638</f>
        <v>0</v>
      </c>
      <c r="C638" s="95" t="str">
        <f>IFERROR(__xludf.DUMMYFUNCTION("JOIN("". "", ARRAYFORMULA(IFERROR(LEFT(SPLIT(dados_01!C638, "" ""), 1))))"),"")</f>
        <v/>
      </c>
      <c r="D638" s="95">
        <f>dados_01!D638</f>
        <v>0</v>
      </c>
      <c r="E638" s="95" t="str">
        <f>CONCATENATE(LEFT(dados_01!E638,3),REPT("*",6),RIGHT(dados_01!E638,2))</f>
        <v>******</v>
      </c>
      <c r="F638" s="95">
        <f>dados_01!F638</f>
        <v>0</v>
      </c>
      <c r="G638" s="95">
        <f>dados_01!G638</f>
        <v>0</v>
      </c>
      <c r="H638" s="95">
        <f>dados_01!H638</f>
        <v>0</v>
      </c>
      <c r="I638" s="95">
        <f>dados_01!I638</f>
        <v>0</v>
      </c>
      <c r="J638" s="95"/>
      <c r="K638" s="95"/>
      <c r="L638" s="95"/>
      <c r="M638" s="95"/>
      <c r="N638" s="95"/>
      <c r="O638" s="95"/>
      <c r="P638" s="95"/>
      <c r="Q638" s="95"/>
      <c r="R638" s="95"/>
      <c r="S638" s="95"/>
      <c r="T638" s="95"/>
      <c r="U638" s="95"/>
      <c r="V638" s="95"/>
      <c r="W638" s="95"/>
      <c r="X638" s="95"/>
      <c r="Y638" s="95"/>
      <c r="Z638" s="95"/>
    </row>
    <row r="639" ht="15.75" customHeight="1" spans="1:26">
      <c r="A639" s="95">
        <f>dados_01!A639</f>
        <v>0</v>
      </c>
      <c r="B639" s="95">
        <f>dados_01!B639</f>
        <v>0</v>
      </c>
      <c r="C639" s="95" t="str">
        <f>IFERROR(__xludf.DUMMYFUNCTION("JOIN("". "", ARRAYFORMULA(IFERROR(LEFT(SPLIT(dados_01!C639, "" ""), 1))))"),"")</f>
        <v/>
      </c>
      <c r="D639" s="95">
        <f>dados_01!D639</f>
        <v>0</v>
      </c>
      <c r="E639" s="95" t="str">
        <f>CONCATENATE(LEFT(dados_01!E639,3),REPT("*",6),RIGHT(dados_01!E639,2))</f>
        <v>******</v>
      </c>
      <c r="F639" s="95">
        <f>dados_01!F639</f>
        <v>0</v>
      </c>
      <c r="G639" s="95">
        <f>dados_01!G639</f>
        <v>0</v>
      </c>
      <c r="H639" s="95">
        <f>dados_01!H639</f>
        <v>0</v>
      </c>
      <c r="I639" s="95">
        <f>dados_01!I639</f>
        <v>0</v>
      </c>
      <c r="J639" s="95"/>
      <c r="K639" s="95"/>
      <c r="L639" s="95"/>
      <c r="M639" s="95"/>
      <c r="N639" s="95"/>
      <c r="O639" s="95"/>
      <c r="P639" s="95"/>
      <c r="Q639" s="95"/>
      <c r="R639" s="95"/>
      <c r="S639" s="95"/>
      <c r="T639" s="95"/>
      <c r="U639" s="95"/>
      <c r="V639" s="95"/>
      <c r="W639" s="95"/>
      <c r="X639" s="95"/>
      <c r="Y639" s="95"/>
      <c r="Z639" s="95"/>
    </row>
    <row r="640" ht="15.75" customHeight="1" spans="1:26">
      <c r="A640" s="95">
        <f>dados_01!A640</f>
        <v>0</v>
      </c>
      <c r="B640" s="95">
        <f>dados_01!B640</f>
        <v>0</v>
      </c>
      <c r="C640" s="95" t="str">
        <f>IFERROR(__xludf.DUMMYFUNCTION("JOIN("". "", ARRAYFORMULA(IFERROR(LEFT(SPLIT(dados_01!C640, "" ""), 1))))"),"")</f>
        <v/>
      </c>
      <c r="D640" s="95">
        <f>dados_01!D640</f>
        <v>0</v>
      </c>
      <c r="E640" s="95" t="str">
        <f>CONCATENATE(LEFT(dados_01!E640,3),REPT("*",6),RIGHT(dados_01!E640,2))</f>
        <v>******</v>
      </c>
      <c r="F640" s="95">
        <f>dados_01!F640</f>
        <v>0</v>
      </c>
      <c r="G640" s="95">
        <f>dados_01!G640</f>
        <v>0</v>
      </c>
      <c r="H640" s="95">
        <f>dados_01!H640</f>
        <v>0</v>
      </c>
      <c r="I640" s="95">
        <f>dados_01!I640</f>
        <v>0</v>
      </c>
      <c r="J640" s="95"/>
      <c r="K640" s="95"/>
      <c r="L640" s="95"/>
      <c r="M640" s="95"/>
      <c r="N640" s="95"/>
      <c r="O640" s="95"/>
      <c r="P640" s="95"/>
      <c r="Q640" s="95"/>
      <c r="R640" s="95"/>
      <c r="S640" s="95"/>
      <c r="T640" s="95"/>
      <c r="U640" s="95"/>
      <c r="V640" s="95"/>
      <c r="W640" s="95"/>
      <c r="X640" s="95"/>
      <c r="Y640" s="95"/>
      <c r="Z640" s="95"/>
    </row>
    <row r="641" ht="15.75" customHeight="1" spans="1:26">
      <c r="A641" s="95">
        <f>dados_01!A641</f>
        <v>0</v>
      </c>
      <c r="B641" s="95">
        <f>dados_01!B641</f>
        <v>0</v>
      </c>
      <c r="C641" s="95" t="str">
        <f>IFERROR(__xludf.DUMMYFUNCTION("JOIN("". "", ARRAYFORMULA(IFERROR(LEFT(SPLIT(dados_01!C641, "" ""), 1))))"),"")</f>
        <v/>
      </c>
      <c r="D641" s="95">
        <f>dados_01!D641</f>
        <v>0</v>
      </c>
      <c r="E641" s="95" t="str">
        <f>CONCATENATE(LEFT(dados_01!E641,3),REPT("*",6),RIGHT(dados_01!E641,2))</f>
        <v>******</v>
      </c>
      <c r="F641" s="95">
        <f>dados_01!F641</f>
        <v>0</v>
      </c>
      <c r="G641" s="95">
        <f>dados_01!G641</f>
        <v>0</v>
      </c>
      <c r="H641" s="95">
        <f>dados_01!H641</f>
        <v>0</v>
      </c>
      <c r="I641" s="95">
        <f>dados_01!I641</f>
        <v>0</v>
      </c>
      <c r="J641" s="95"/>
      <c r="K641" s="95"/>
      <c r="L641" s="95"/>
      <c r="M641" s="95"/>
      <c r="N641" s="95"/>
      <c r="O641" s="95"/>
      <c r="P641" s="95"/>
      <c r="Q641" s="95"/>
      <c r="R641" s="95"/>
      <c r="S641" s="95"/>
      <c r="T641" s="95"/>
      <c r="U641" s="95"/>
      <c r="V641" s="95"/>
      <c r="W641" s="95"/>
      <c r="X641" s="95"/>
      <c r="Y641" s="95"/>
      <c r="Z641" s="95"/>
    </row>
    <row r="642" ht="15.75" customHeight="1" spans="1:26">
      <c r="A642" s="95">
        <f>dados_01!A642</f>
        <v>0</v>
      </c>
      <c r="B642" s="95">
        <f>dados_01!B642</f>
        <v>0</v>
      </c>
      <c r="C642" s="95" t="str">
        <f>IFERROR(__xludf.DUMMYFUNCTION("JOIN("". "", ARRAYFORMULA(IFERROR(LEFT(SPLIT(dados_01!C642, "" ""), 1))))"),"")</f>
        <v/>
      </c>
      <c r="D642" s="95">
        <f>dados_01!D642</f>
        <v>0</v>
      </c>
      <c r="E642" s="95" t="str">
        <f>CONCATENATE(LEFT(dados_01!E642,3),REPT("*",6),RIGHT(dados_01!E642,2))</f>
        <v>******</v>
      </c>
      <c r="F642" s="95">
        <f>dados_01!F642</f>
        <v>0</v>
      </c>
      <c r="G642" s="95">
        <f>dados_01!G642</f>
        <v>0</v>
      </c>
      <c r="H642" s="95">
        <f>dados_01!H642</f>
        <v>0</v>
      </c>
      <c r="I642" s="95">
        <f>dados_01!I642</f>
        <v>0</v>
      </c>
      <c r="J642" s="95"/>
      <c r="K642" s="95"/>
      <c r="L642" s="95"/>
      <c r="M642" s="95"/>
      <c r="N642" s="95"/>
      <c r="O642" s="95"/>
      <c r="P642" s="95"/>
      <c r="Q642" s="95"/>
      <c r="R642" s="95"/>
      <c r="S642" s="95"/>
      <c r="T642" s="95"/>
      <c r="U642" s="95"/>
      <c r="V642" s="95"/>
      <c r="W642" s="95"/>
      <c r="X642" s="95"/>
      <c r="Y642" s="95"/>
      <c r="Z642" s="95"/>
    </row>
    <row r="643" ht="15.75" customHeight="1" spans="1:26">
      <c r="A643" s="95">
        <f>dados_01!A643</f>
        <v>0</v>
      </c>
      <c r="B643" s="95">
        <f>dados_01!B643</f>
        <v>0</v>
      </c>
      <c r="C643" s="95" t="str">
        <f>IFERROR(__xludf.DUMMYFUNCTION("JOIN("". "", ARRAYFORMULA(IFERROR(LEFT(SPLIT(dados_01!C643, "" ""), 1))))"),"")</f>
        <v/>
      </c>
      <c r="D643" s="95">
        <f>dados_01!D643</f>
        <v>0</v>
      </c>
      <c r="E643" s="95" t="str">
        <f>CONCATENATE(LEFT(dados_01!E643,3),REPT("*",6),RIGHT(dados_01!E643,2))</f>
        <v>******</v>
      </c>
      <c r="F643" s="95">
        <f>dados_01!F643</f>
        <v>0</v>
      </c>
      <c r="G643" s="95">
        <f>dados_01!G643</f>
        <v>0</v>
      </c>
      <c r="H643" s="95">
        <f>dados_01!H643</f>
        <v>0</v>
      </c>
      <c r="I643" s="95">
        <f>dados_01!I643</f>
        <v>0</v>
      </c>
      <c r="J643" s="95"/>
      <c r="K643" s="95"/>
      <c r="L643" s="95"/>
      <c r="M643" s="95"/>
      <c r="N643" s="95"/>
      <c r="O643" s="95"/>
      <c r="P643" s="95"/>
      <c r="Q643" s="95"/>
      <c r="R643" s="95"/>
      <c r="S643" s="95"/>
      <c r="T643" s="95"/>
      <c r="U643" s="95"/>
      <c r="V643" s="95"/>
      <c r="W643" s="95"/>
      <c r="X643" s="95"/>
      <c r="Y643" s="95"/>
      <c r="Z643" s="95"/>
    </row>
    <row r="644" ht="15.75" customHeight="1" spans="1:26">
      <c r="A644" s="95">
        <f>dados_01!A644</f>
        <v>0</v>
      </c>
      <c r="B644" s="95">
        <f>dados_01!B644</f>
        <v>0</v>
      </c>
      <c r="C644" s="95" t="str">
        <f>IFERROR(__xludf.DUMMYFUNCTION("JOIN("". "", ARRAYFORMULA(IFERROR(LEFT(SPLIT(dados_01!C644, "" ""), 1))))"),"")</f>
        <v/>
      </c>
      <c r="D644" s="95">
        <f>dados_01!D644</f>
        <v>0</v>
      </c>
      <c r="E644" s="95" t="str">
        <f>CONCATENATE(LEFT(dados_01!E644,3),REPT("*",6),RIGHT(dados_01!E644,2))</f>
        <v>******</v>
      </c>
      <c r="F644" s="95">
        <f>dados_01!F644</f>
        <v>0</v>
      </c>
      <c r="G644" s="95">
        <f>dados_01!G644</f>
        <v>0</v>
      </c>
      <c r="H644" s="95">
        <f>dados_01!H644</f>
        <v>0</v>
      </c>
      <c r="I644" s="95">
        <f>dados_01!I644</f>
        <v>0</v>
      </c>
      <c r="J644" s="95"/>
      <c r="K644" s="95"/>
      <c r="L644" s="95"/>
      <c r="M644" s="95"/>
      <c r="N644" s="95"/>
      <c r="O644" s="95"/>
      <c r="P644" s="95"/>
      <c r="Q644" s="95"/>
      <c r="R644" s="95"/>
      <c r="S644" s="95"/>
      <c r="T644" s="95"/>
      <c r="U644" s="95"/>
      <c r="V644" s="95"/>
      <c r="W644" s="95"/>
      <c r="X644" s="95"/>
      <c r="Y644" s="95"/>
      <c r="Z644" s="95"/>
    </row>
    <row r="645" ht="15.75" customHeight="1" spans="1:26">
      <c r="A645" s="95">
        <f>dados_01!A645</f>
        <v>0</v>
      </c>
      <c r="B645" s="95">
        <f>dados_01!B645</f>
        <v>0</v>
      </c>
      <c r="C645" s="95" t="str">
        <f>IFERROR(__xludf.DUMMYFUNCTION("JOIN("". "", ARRAYFORMULA(IFERROR(LEFT(SPLIT(dados_01!C645, "" ""), 1))))"),"")</f>
        <v/>
      </c>
      <c r="D645" s="95">
        <f>dados_01!D645</f>
        <v>0</v>
      </c>
      <c r="E645" s="95" t="str">
        <f>CONCATENATE(LEFT(dados_01!E645,3),REPT("*",6),RIGHT(dados_01!E645,2))</f>
        <v>******</v>
      </c>
      <c r="F645" s="95">
        <f>dados_01!F645</f>
        <v>0</v>
      </c>
      <c r="G645" s="95">
        <f>dados_01!G645</f>
        <v>0</v>
      </c>
      <c r="H645" s="95">
        <f>dados_01!H645</f>
        <v>0</v>
      </c>
      <c r="I645" s="95">
        <f>dados_01!I645</f>
        <v>0</v>
      </c>
      <c r="J645" s="95"/>
      <c r="K645" s="95"/>
      <c r="L645" s="95"/>
      <c r="M645" s="95"/>
      <c r="N645" s="95"/>
      <c r="O645" s="95"/>
      <c r="P645" s="95"/>
      <c r="Q645" s="95"/>
      <c r="R645" s="95"/>
      <c r="S645" s="95"/>
      <c r="T645" s="95"/>
      <c r="U645" s="95"/>
      <c r="V645" s="95"/>
      <c r="W645" s="95"/>
      <c r="X645" s="95"/>
      <c r="Y645" s="95"/>
      <c r="Z645" s="95"/>
    </row>
    <row r="646" ht="15.75" customHeight="1" spans="1:26">
      <c r="A646" s="95">
        <f>dados_01!A646</f>
        <v>0</v>
      </c>
      <c r="B646" s="95">
        <f>dados_01!B646</f>
        <v>0</v>
      </c>
      <c r="C646" s="95" t="str">
        <f>IFERROR(__xludf.DUMMYFUNCTION("JOIN("". "", ARRAYFORMULA(IFERROR(LEFT(SPLIT(dados_01!C646, "" ""), 1))))"),"")</f>
        <v/>
      </c>
      <c r="D646" s="95">
        <f>dados_01!D646</f>
        <v>0</v>
      </c>
      <c r="E646" s="95" t="str">
        <f>CONCATENATE(LEFT(dados_01!E646,3),REPT("*",6),RIGHT(dados_01!E646,2))</f>
        <v>******</v>
      </c>
      <c r="F646" s="95">
        <f>dados_01!F646</f>
        <v>0</v>
      </c>
      <c r="G646" s="95">
        <f>dados_01!G646</f>
        <v>0</v>
      </c>
      <c r="H646" s="95">
        <f>dados_01!H646</f>
        <v>0</v>
      </c>
      <c r="I646" s="95">
        <f>dados_01!I646</f>
        <v>0</v>
      </c>
      <c r="J646" s="95"/>
      <c r="K646" s="95"/>
      <c r="L646" s="95"/>
      <c r="M646" s="95"/>
      <c r="N646" s="95"/>
      <c r="O646" s="95"/>
      <c r="P646" s="95"/>
      <c r="Q646" s="95"/>
      <c r="R646" s="95"/>
      <c r="S646" s="95"/>
      <c r="T646" s="95"/>
      <c r="U646" s="95"/>
      <c r="V646" s="95"/>
      <c r="W646" s="95"/>
      <c r="X646" s="95"/>
      <c r="Y646" s="95"/>
      <c r="Z646" s="95"/>
    </row>
    <row r="647" ht="15.75" customHeight="1" spans="1:26">
      <c r="A647" s="95">
        <f>dados_01!A647</f>
        <v>0</v>
      </c>
      <c r="B647" s="95">
        <f>dados_01!B647</f>
        <v>0</v>
      </c>
      <c r="C647" s="95" t="str">
        <f>IFERROR(__xludf.DUMMYFUNCTION("JOIN("". "", ARRAYFORMULA(IFERROR(LEFT(SPLIT(dados_01!C647, "" ""), 1))))"),"")</f>
        <v/>
      </c>
      <c r="D647" s="95">
        <f>dados_01!D647</f>
        <v>0</v>
      </c>
      <c r="E647" s="95" t="str">
        <f>CONCATENATE(LEFT(dados_01!E647,3),REPT("*",6),RIGHT(dados_01!E647,2))</f>
        <v>******</v>
      </c>
      <c r="F647" s="95">
        <f>dados_01!F647</f>
        <v>0</v>
      </c>
      <c r="G647" s="95">
        <f>dados_01!G647</f>
        <v>0</v>
      </c>
      <c r="H647" s="95">
        <f>dados_01!H647</f>
        <v>0</v>
      </c>
      <c r="I647" s="95">
        <f>dados_01!I647</f>
        <v>0</v>
      </c>
      <c r="J647" s="95"/>
      <c r="K647" s="95"/>
      <c r="L647" s="95"/>
      <c r="M647" s="95"/>
      <c r="N647" s="95"/>
      <c r="O647" s="95"/>
      <c r="P647" s="95"/>
      <c r="Q647" s="95"/>
      <c r="R647" s="95"/>
      <c r="S647" s="95"/>
      <c r="T647" s="95"/>
      <c r="U647" s="95"/>
      <c r="V647" s="95"/>
      <c r="W647" s="95"/>
      <c r="X647" s="95"/>
      <c r="Y647" s="95"/>
      <c r="Z647" s="95"/>
    </row>
    <row r="648" ht="15.75" hidden="1" customHeight="1" spans="1:26">
      <c r="A648" s="95">
        <f>dados_01!A648</f>
        <v>0</v>
      </c>
      <c r="B648" s="95">
        <f>dados_01!B648</f>
        <v>0</v>
      </c>
      <c r="C648" s="95"/>
      <c r="D648" s="95">
        <f>dados_01!D648</f>
        <v>0</v>
      </c>
      <c r="E648" s="95" t="str">
        <f>CONCATENATE(LEFT(dados_01!E648,3),REPT("*",6),RIGHT(dados_01!E648,2))</f>
        <v>******</v>
      </c>
      <c r="F648" s="95">
        <f>dados_01!F648</f>
        <v>0</v>
      </c>
      <c r="G648" s="95">
        <f>dados_01!G648</f>
        <v>0</v>
      </c>
      <c r="H648" s="95">
        <f>dados_01!H648</f>
        <v>0</v>
      </c>
      <c r="I648" s="95">
        <f>dados_01!I648</f>
        <v>0</v>
      </c>
      <c r="J648" s="95"/>
      <c r="K648" s="95"/>
      <c r="L648" s="95"/>
      <c r="M648" s="95"/>
      <c r="N648" s="95"/>
      <c r="O648" s="95"/>
      <c r="P648" s="95"/>
      <c r="Q648" s="95"/>
      <c r="R648" s="95"/>
      <c r="S648" s="95"/>
      <c r="T648" s="95"/>
      <c r="U648" s="95"/>
      <c r="V648" s="95"/>
      <c r="W648" s="95"/>
      <c r="X648" s="95"/>
      <c r="Y648" s="95"/>
      <c r="Z648" s="95"/>
    </row>
    <row r="649" ht="15.75" hidden="1" customHeight="1" spans="1:26">
      <c r="A649" s="95">
        <f>dados_01!A649</f>
        <v>0</v>
      </c>
      <c r="B649" s="95">
        <f>dados_01!B649</f>
        <v>0</v>
      </c>
      <c r="C649" s="95"/>
      <c r="D649" s="95">
        <f>dados_01!D649</f>
        <v>0</v>
      </c>
      <c r="E649" s="95" t="str">
        <f>CONCATENATE(LEFT(dados_01!E649,3),REPT("*",6),RIGHT(dados_01!E649,2))</f>
        <v>******</v>
      </c>
      <c r="F649" s="95">
        <f>dados_01!F649</f>
        <v>0</v>
      </c>
      <c r="G649" s="95">
        <f>dados_01!G649</f>
        <v>0</v>
      </c>
      <c r="H649" s="95">
        <f>dados_01!H649</f>
        <v>0</v>
      </c>
      <c r="I649" s="95">
        <f>dados_01!I649</f>
        <v>0</v>
      </c>
      <c r="J649" s="95"/>
      <c r="K649" s="95"/>
      <c r="L649" s="95"/>
      <c r="M649" s="95"/>
      <c r="N649" s="95"/>
      <c r="O649" s="95"/>
      <c r="P649" s="95"/>
      <c r="Q649" s="95"/>
      <c r="R649" s="95"/>
      <c r="S649" s="95"/>
      <c r="T649" s="95"/>
      <c r="U649" s="95"/>
      <c r="V649" s="95"/>
      <c r="W649" s="95"/>
      <c r="X649" s="95"/>
      <c r="Y649" s="95"/>
      <c r="Z649" s="95"/>
    </row>
    <row r="650" ht="15.75" hidden="1" customHeight="1" spans="1:26">
      <c r="A650" s="95">
        <f>dados_01!A650</f>
        <v>0</v>
      </c>
      <c r="B650" s="95">
        <f>dados_01!B650</f>
        <v>0</v>
      </c>
      <c r="C650" s="95"/>
      <c r="D650" s="95">
        <f>dados_01!D650</f>
        <v>0</v>
      </c>
      <c r="E650" s="95" t="str">
        <f>CONCATENATE(LEFT(dados_01!E650,3),REPT("*",6),RIGHT(dados_01!E650,2))</f>
        <v>******</v>
      </c>
      <c r="F650" s="95">
        <f>dados_01!F650</f>
        <v>0</v>
      </c>
      <c r="G650" s="95">
        <f>dados_01!G650</f>
        <v>0</v>
      </c>
      <c r="H650" s="95">
        <f>dados_01!H650</f>
        <v>0</v>
      </c>
      <c r="I650" s="95">
        <f>dados_01!I650</f>
        <v>0</v>
      </c>
      <c r="J650" s="95"/>
      <c r="K650" s="95"/>
      <c r="L650" s="95"/>
      <c r="M650" s="95"/>
      <c r="N650" s="95"/>
      <c r="O650" s="95"/>
      <c r="P650" s="95"/>
      <c r="Q650" s="95"/>
      <c r="R650" s="95"/>
      <c r="S650" s="95"/>
      <c r="T650" s="95"/>
      <c r="U650" s="95"/>
      <c r="V650" s="95"/>
      <c r="W650" s="95"/>
      <c r="X650" s="95"/>
      <c r="Y650" s="95"/>
      <c r="Z650" s="95"/>
    </row>
    <row r="651" ht="15.75" hidden="1" customHeight="1" spans="1:26">
      <c r="A651" s="95">
        <f>dados_01!A651</f>
        <v>0</v>
      </c>
      <c r="B651" s="95">
        <f>dados_01!B651</f>
        <v>0</v>
      </c>
      <c r="C651" s="95"/>
      <c r="D651" s="95">
        <f>dados_01!D651</f>
        <v>0</v>
      </c>
      <c r="E651" s="95" t="str">
        <f>CONCATENATE(LEFT(dados_01!E651,3),REPT("*",6),RIGHT(dados_01!E651,2))</f>
        <v>******</v>
      </c>
      <c r="F651" s="95">
        <f>dados_01!F651</f>
        <v>0</v>
      </c>
      <c r="G651" s="95">
        <f>dados_01!G651</f>
        <v>0</v>
      </c>
      <c r="H651" s="95">
        <f>dados_01!H651</f>
        <v>0</v>
      </c>
      <c r="I651" s="95">
        <f>dados_01!I651</f>
        <v>0</v>
      </c>
      <c r="J651" s="95"/>
      <c r="K651" s="95"/>
      <c r="L651" s="95"/>
      <c r="M651" s="95"/>
      <c r="N651" s="95"/>
      <c r="O651" s="95"/>
      <c r="P651" s="95"/>
      <c r="Q651" s="95"/>
      <c r="R651" s="95"/>
      <c r="S651" s="95"/>
      <c r="T651" s="95"/>
      <c r="U651" s="95"/>
      <c r="V651" s="95"/>
      <c r="W651" s="95"/>
      <c r="X651" s="95"/>
      <c r="Y651" s="95"/>
      <c r="Z651" s="95"/>
    </row>
    <row r="652" ht="15.75" hidden="1" customHeight="1" spans="1:26">
      <c r="A652" s="95">
        <f>dados_01!A652</f>
        <v>0</v>
      </c>
      <c r="B652" s="95">
        <f>dados_01!B652</f>
        <v>0</v>
      </c>
      <c r="C652" s="95"/>
      <c r="D652" s="95">
        <f>dados_01!D652</f>
        <v>0</v>
      </c>
      <c r="E652" s="95" t="str">
        <f>CONCATENATE(LEFT(dados_01!E652,3),REPT("*",6),RIGHT(dados_01!E652,2))</f>
        <v>******</v>
      </c>
      <c r="F652" s="95">
        <f>dados_01!F652</f>
        <v>0</v>
      </c>
      <c r="G652" s="95">
        <f>dados_01!G652</f>
        <v>0</v>
      </c>
      <c r="H652" s="95">
        <f>dados_01!H652</f>
        <v>0</v>
      </c>
      <c r="I652" s="95">
        <f>dados_01!I652</f>
        <v>0</v>
      </c>
      <c r="J652" s="95"/>
      <c r="K652" s="95"/>
      <c r="L652" s="95"/>
      <c r="M652" s="95"/>
      <c r="N652" s="95"/>
      <c r="O652" s="95"/>
      <c r="P652" s="95"/>
      <c r="Q652" s="95"/>
      <c r="R652" s="95"/>
      <c r="S652" s="95"/>
      <c r="T652" s="95"/>
      <c r="U652" s="95"/>
      <c r="V652" s="95"/>
      <c r="W652" s="95"/>
      <c r="X652" s="95"/>
      <c r="Y652" s="95"/>
      <c r="Z652" s="95"/>
    </row>
    <row r="653" ht="15.75" hidden="1" customHeight="1" spans="1:26">
      <c r="A653" s="95">
        <f>dados_01!A653</f>
        <v>0</v>
      </c>
      <c r="B653" s="95">
        <f>dados_01!B653</f>
        <v>0</v>
      </c>
      <c r="C653" s="95"/>
      <c r="D653" s="95">
        <f>dados_01!D653</f>
        <v>0</v>
      </c>
      <c r="E653" s="95" t="str">
        <f>CONCATENATE(LEFT(dados_01!E653,3),REPT("*",6),RIGHT(dados_01!E653,2))</f>
        <v>******</v>
      </c>
      <c r="F653" s="95">
        <f>dados_01!F653</f>
        <v>0</v>
      </c>
      <c r="G653" s="95">
        <f>dados_01!G653</f>
        <v>0</v>
      </c>
      <c r="H653" s="95">
        <f>dados_01!H653</f>
        <v>0</v>
      </c>
      <c r="I653" s="95">
        <f>dados_01!I653</f>
        <v>0</v>
      </c>
      <c r="J653" s="95"/>
      <c r="K653" s="95"/>
      <c r="L653" s="95"/>
      <c r="M653" s="95"/>
      <c r="N653" s="95"/>
      <c r="O653" s="95"/>
      <c r="P653" s="95"/>
      <c r="Q653" s="95"/>
      <c r="R653" s="95"/>
      <c r="S653" s="95"/>
      <c r="T653" s="95"/>
      <c r="U653" s="95"/>
      <c r="V653" s="95"/>
      <c r="W653" s="95"/>
      <c r="X653" s="95"/>
      <c r="Y653" s="95"/>
      <c r="Z653" s="95"/>
    </row>
    <row r="654" ht="15.75" hidden="1" customHeight="1" spans="1:26">
      <c r="A654" s="95">
        <f>dados_01!A654</f>
        <v>0</v>
      </c>
      <c r="B654" s="95">
        <f>dados_01!B654</f>
        <v>0</v>
      </c>
      <c r="C654" s="95"/>
      <c r="D654" s="95">
        <f>dados_01!D654</f>
        <v>0</v>
      </c>
      <c r="E654" s="95" t="str">
        <f>CONCATENATE(LEFT(dados_01!E654,3),REPT("*",6),RIGHT(dados_01!E654,2))</f>
        <v>******</v>
      </c>
      <c r="F654" s="95">
        <f>dados_01!F654</f>
        <v>0</v>
      </c>
      <c r="G654" s="95">
        <f>dados_01!G654</f>
        <v>0</v>
      </c>
      <c r="H654" s="95">
        <f>dados_01!H654</f>
        <v>0</v>
      </c>
      <c r="I654" s="95">
        <f>dados_01!I654</f>
        <v>0</v>
      </c>
      <c r="J654" s="95"/>
      <c r="K654" s="95"/>
      <c r="L654" s="95"/>
      <c r="M654" s="95"/>
      <c r="N654" s="95"/>
      <c r="O654" s="95"/>
      <c r="P654" s="95"/>
      <c r="Q654" s="95"/>
      <c r="R654" s="95"/>
      <c r="S654" s="95"/>
      <c r="T654" s="95"/>
      <c r="U654" s="95"/>
      <c r="V654" s="95"/>
      <c r="W654" s="95"/>
      <c r="X654" s="95"/>
      <c r="Y654" s="95"/>
      <c r="Z654" s="95"/>
    </row>
    <row r="655" ht="15.75" hidden="1" customHeight="1" spans="1:26">
      <c r="A655" s="95">
        <f>dados_01!A655</f>
        <v>0</v>
      </c>
      <c r="B655" s="95">
        <f>dados_01!B655</f>
        <v>0</v>
      </c>
      <c r="C655" s="95"/>
      <c r="D655" s="95">
        <f>dados_01!D655</f>
        <v>0</v>
      </c>
      <c r="E655" s="95" t="str">
        <f>CONCATENATE(LEFT(dados_01!E655,3),REPT("*",6),RIGHT(dados_01!E655,2))</f>
        <v>******</v>
      </c>
      <c r="F655" s="95">
        <f>dados_01!F655</f>
        <v>0</v>
      </c>
      <c r="G655" s="95">
        <f>dados_01!G655</f>
        <v>0</v>
      </c>
      <c r="H655" s="95">
        <f>dados_01!H655</f>
        <v>0</v>
      </c>
      <c r="I655" s="95">
        <f>dados_01!I655</f>
        <v>0</v>
      </c>
      <c r="J655" s="95"/>
      <c r="K655" s="95"/>
      <c r="L655" s="95"/>
      <c r="M655" s="95"/>
      <c r="N655" s="95"/>
      <c r="O655" s="95"/>
      <c r="P655" s="95"/>
      <c r="Q655" s="95"/>
      <c r="R655" s="95"/>
      <c r="S655" s="95"/>
      <c r="T655" s="95"/>
      <c r="U655" s="95"/>
      <c r="V655" s="95"/>
      <c r="W655" s="95"/>
      <c r="X655" s="95"/>
      <c r="Y655" s="95"/>
      <c r="Z655" s="95"/>
    </row>
    <row r="656" ht="15.75" hidden="1" customHeight="1" spans="1:26">
      <c r="A656" s="95">
        <f>dados_01!A656</f>
        <v>0</v>
      </c>
      <c r="B656" s="95">
        <f>dados_01!B656</f>
        <v>0</v>
      </c>
      <c r="C656" s="95"/>
      <c r="D656" s="95">
        <f>dados_01!D656</f>
        <v>0</v>
      </c>
      <c r="E656" s="95" t="str">
        <f>CONCATENATE(LEFT(dados_01!E656,3),REPT("*",6),RIGHT(dados_01!E656,2))</f>
        <v>******</v>
      </c>
      <c r="F656" s="95">
        <f>dados_01!F656</f>
        <v>0</v>
      </c>
      <c r="G656" s="95">
        <f>dados_01!G656</f>
        <v>0</v>
      </c>
      <c r="H656" s="95">
        <f>dados_01!H656</f>
        <v>0</v>
      </c>
      <c r="I656" s="95">
        <f>dados_01!I656</f>
        <v>0</v>
      </c>
      <c r="J656" s="95"/>
      <c r="K656" s="95"/>
      <c r="L656" s="95"/>
      <c r="M656" s="95"/>
      <c r="N656" s="95"/>
      <c r="O656" s="95"/>
      <c r="P656" s="95"/>
      <c r="Q656" s="95"/>
      <c r="R656" s="95"/>
      <c r="S656" s="95"/>
      <c r="T656" s="95"/>
      <c r="U656" s="95"/>
      <c r="V656" s="95"/>
      <c r="W656" s="95"/>
      <c r="X656" s="95"/>
      <c r="Y656" s="95"/>
      <c r="Z656" s="95"/>
    </row>
    <row r="657" ht="15.75" hidden="1" customHeight="1" spans="1:26">
      <c r="A657" s="95">
        <f>dados_01!A657</f>
        <v>0</v>
      </c>
      <c r="B657" s="95">
        <f>dados_01!B657</f>
        <v>0</v>
      </c>
      <c r="C657" s="95"/>
      <c r="D657" s="95">
        <f>dados_01!D657</f>
        <v>0</v>
      </c>
      <c r="E657" s="95" t="str">
        <f>CONCATENATE(LEFT(dados_01!E657,3),REPT("*",6),RIGHT(dados_01!E657,2))</f>
        <v>******</v>
      </c>
      <c r="F657" s="95">
        <f>dados_01!F657</f>
        <v>0</v>
      </c>
      <c r="G657" s="95">
        <f>dados_01!G657</f>
        <v>0</v>
      </c>
      <c r="H657" s="95">
        <f>dados_01!H657</f>
        <v>0</v>
      </c>
      <c r="I657" s="95">
        <f>dados_01!I657</f>
        <v>0</v>
      </c>
      <c r="J657" s="95"/>
      <c r="K657" s="95"/>
      <c r="L657" s="95"/>
      <c r="M657" s="95"/>
      <c r="N657" s="95"/>
      <c r="O657" s="95"/>
      <c r="P657" s="95"/>
      <c r="Q657" s="95"/>
      <c r="R657" s="95"/>
      <c r="S657" s="95"/>
      <c r="T657" s="95"/>
      <c r="U657" s="95"/>
      <c r="V657" s="95"/>
      <c r="W657" s="95"/>
      <c r="X657" s="95"/>
      <c r="Y657" s="95"/>
      <c r="Z657" s="95"/>
    </row>
    <row r="658" ht="15.75" hidden="1" customHeight="1" spans="1:26">
      <c r="A658" s="95">
        <f>dados_01!A658</f>
        <v>0</v>
      </c>
      <c r="B658" s="95">
        <f>dados_01!B658</f>
        <v>0</v>
      </c>
      <c r="C658" s="95"/>
      <c r="D658" s="95">
        <f>dados_01!D658</f>
        <v>0</v>
      </c>
      <c r="E658" s="95" t="str">
        <f>CONCATENATE(LEFT(dados_01!E658,3),REPT("*",6),RIGHT(dados_01!E658,2))</f>
        <v>******</v>
      </c>
      <c r="F658" s="95">
        <f>dados_01!F658</f>
        <v>0</v>
      </c>
      <c r="G658" s="95">
        <f>dados_01!G658</f>
        <v>0</v>
      </c>
      <c r="H658" s="95">
        <f>dados_01!H658</f>
        <v>0</v>
      </c>
      <c r="I658" s="95">
        <f>dados_01!I658</f>
        <v>0</v>
      </c>
      <c r="J658" s="95"/>
      <c r="K658" s="95"/>
      <c r="L658" s="95"/>
      <c r="M658" s="95"/>
      <c r="N658" s="95"/>
      <c r="O658" s="95"/>
      <c r="P658" s="95"/>
      <c r="Q658" s="95"/>
      <c r="R658" s="95"/>
      <c r="S658" s="95"/>
      <c r="T658" s="95"/>
      <c r="U658" s="95"/>
      <c r="V658" s="95"/>
      <c r="W658" s="95"/>
      <c r="X658" s="95"/>
      <c r="Y658" s="95"/>
      <c r="Z658" s="95"/>
    </row>
    <row r="659" ht="15.75" hidden="1" customHeight="1" spans="1:26">
      <c r="A659" s="95">
        <f>dados_01!A659</f>
        <v>0</v>
      </c>
      <c r="B659" s="95">
        <f>dados_01!B659</f>
        <v>0</v>
      </c>
      <c r="C659" s="95"/>
      <c r="D659" s="95">
        <f>dados_01!D659</f>
        <v>0</v>
      </c>
      <c r="E659" s="95" t="str">
        <f>CONCATENATE(LEFT(dados_01!E659,3),REPT("*",6),RIGHT(dados_01!E659,2))</f>
        <v>******</v>
      </c>
      <c r="F659" s="95">
        <f>dados_01!F659</f>
        <v>0</v>
      </c>
      <c r="G659" s="95">
        <f>dados_01!G659</f>
        <v>0</v>
      </c>
      <c r="H659" s="95">
        <f>dados_01!H659</f>
        <v>0</v>
      </c>
      <c r="I659" s="95">
        <f>dados_01!I659</f>
        <v>0</v>
      </c>
      <c r="J659" s="95"/>
      <c r="K659" s="95"/>
      <c r="L659" s="95"/>
      <c r="M659" s="95"/>
      <c r="N659" s="95"/>
      <c r="O659" s="95"/>
      <c r="P659" s="95"/>
      <c r="Q659" s="95"/>
      <c r="R659" s="95"/>
      <c r="S659" s="95"/>
      <c r="T659" s="95"/>
      <c r="U659" s="95"/>
      <c r="V659" s="95"/>
      <c r="W659" s="95"/>
      <c r="X659" s="95"/>
      <c r="Y659" s="95"/>
      <c r="Z659" s="95"/>
    </row>
    <row r="660" ht="15.75" hidden="1" customHeight="1" spans="1:26">
      <c r="A660" s="95">
        <f>dados_01!A660</f>
        <v>0</v>
      </c>
      <c r="B660" s="95">
        <f>dados_01!B660</f>
        <v>0</v>
      </c>
      <c r="C660" s="95"/>
      <c r="D660" s="95">
        <f>dados_01!D660</f>
        <v>0</v>
      </c>
      <c r="E660" s="95" t="str">
        <f>CONCATENATE(LEFT(dados_01!E660,3),REPT("*",6),RIGHT(dados_01!E660,2))</f>
        <v>******</v>
      </c>
      <c r="F660" s="95">
        <f>dados_01!F660</f>
        <v>0</v>
      </c>
      <c r="G660" s="95">
        <f>dados_01!G660</f>
        <v>0</v>
      </c>
      <c r="H660" s="95">
        <f>dados_01!H660</f>
        <v>0</v>
      </c>
      <c r="I660" s="95">
        <f>dados_01!I660</f>
        <v>0</v>
      </c>
      <c r="J660" s="95"/>
      <c r="K660" s="95"/>
      <c r="L660" s="95"/>
      <c r="M660" s="95"/>
      <c r="N660" s="95"/>
      <c r="O660" s="95"/>
      <c r="P660" s="95"/>
      <c r="Q660" s="95"/>
      <c r="R660" s="95"/>
      <c r="S660" s="95"/>
      <c r="T660" s="95"/>
      <c r="U660" s="95"/>
      <c r="V660" s="95"/>
      <c r="W660" s="95"/>
      <c r="X660" s="95"/>
      <c r="Y660" s="95"/>
      <c r="Z660" s="95"/>
    </row>
    <row r="661" ht="15.75" hidden="1" customHeight="1" spans="1:26">
      <c r="A661" s="95">
        <f>dados_01!A661</f>
        <v>0</v>
      </c>
      <c r="B661" s="95">
        <f>dados_01!B661</f>
        <v>0</v>
      </c>
      <c r="C661" s="95"/>
      <c r="D661" s="95">
        <f>dados_01!D661</f>
        <v>0</v>
      </c>
      <c r="E661" s="95" t="str">
        <f>CONCATENATE(LEFT(dados_01!E661,3),REPT("*",6),RIGHT(dados_01!E661,2))</f>
        <v>******</v>
      </c>
      <c r="F661" s="95">
        <f>dados_01!F661</f>
        <v>0</v>
      </c>
      <c r="G661" s="95">
        <f>dados_01!G661</f>
        <v>0</v>
      </c>
      <c r="H661" s="95">
        <f>dados_01!H661</f>
        <v>0</v>
      </c>
      <c r="I661" s="95">
        <f>dados_01!I661</f>
        <v>0</v>
      </c>
      <c r="J661" s="95"/>
      <c r="K661" s="95"/>
      <c r="L661" s="95"/>
      <c r="M661" s="95"/>
      <c r="N661" s="95"/>
      <c r="O661" s="95"/>
      <c r="P661" s="95"/>
      <c r="Q661" s="95"/>
      <c r="R661" s="95"/>
      <c r="S661" s="95"/>
      <c r="T661" s="95"/>
      <c r="U661" s="95"/>
      <c r="V661" s="95"/>
      <c r="W661" s="95"/>
      <c r="X661" s="95"/>
      <c r="Y661" s="95"/>
      <c r="Z661" s="95"/>
    </row>
    <row r="662" ht="15.75" hidden="1" customHeight="1" spans="1:26">
      <c r="A662" s="95">
        <f>dados_01!A662</f>
        <v>0</v>
      </c>
      <c r="B662" s="95">
        <f>dados_01!B662</f>
        <v>0</v>
      </c>
      <c r="C662" s="95"/>
      <c r="D662" s="95">
        <f>dados_01!D662</f>
        <v>0</v>
      </c>
      <c r="E662" s="95" t="str">
        <f>CONCATENATE(LEFT(dados_01!E662,3),REPT("*",6),RIGHT(dados_01!E662,2))</f>
        <v>******</v>
      </c>
      <c r="F662" s="95">
        <f>dados_01!F662</f>
        <v>0</v>
      </c>
      <c r="G662" s="95">
        <f>dados_01!G662</f>
        <v>0</v>
      </c>
      <c r="H662" s="95">
        <f>dados_01!H662</f>
        <v>0</v>
      </c>
      <c r="I662" s="95">
        <f>dados_01!I662</f>
        <v>0</v>
      </c>
      <c r="J662" s="95"/>
      <c r="K662" s="95"/>
      <c r="L662" s="95"/>
      <c r="M662" s="95"/>
      <c r="N662" s="95"/>
      <c r="O662" s="95"/>
      <c r="P662" s="95"/>
      <c r="Q662" s="95"/>
      <c r="R662" s="95"/>
      <c r="S662" s="95"/>
      <c r="T662" s="95"/>
      <c r="U662" s="95"/>
      <c r="V662" s="95"/>
      <c r="W662" s="95"/>
      <c r="X662" s="95"/>
      <c r="Y662" s="95"/>
      <c r="Z662" s="95"/>
    </row>
    <row r="663" ht="15.75" hidden="1" customHeight="1" spans="1:26">
      <c r="A663" s="95">
        <f>dados_01!A663</f>
        <v>0</v>
      </c>
      <c r="B663" s="95">
        <f>dados_01!B663</f>
        <v>0</v>
      </c>
      <c r="C663" s="95"/>
      <c r="D663" s="95">
        <f>dados_01!D663</f>
        <v>0</v>
      </c>
      <c r="E663" s="95" t="str">
        <f>CONCATENATE(LEFT(dados_01!E663,3),REPT("*",6),RIGHT(dados_01!E663,2))</f>
        <v>******</v>
      </c>
      <c r="F663" s="95">
        <f>dados_01!F663</f>
        <v>0</v>
      </c>
      <c r="G663" s="95">
        <f>dados_01!G663</f>
        <v>0</v>
      </c>
      <c r="H663" s="95">
        <f>dados_01!H663</f>
        <v>0</v>
      </c>
      <c r="I663" s="95">
        <f>dados_01!I663</f>
        <v>0</v>
      </c>
      <c r="J663" s="95"/>
      <c r="K663" s="95"/>
      <c r="L663" s="95"/>
      <c r="M663" s="95"/>
      <c r="N663" s="95"/>
      <c r="O663" s="95"/>
      <c r="P663" s="95"/>
      <c r="Q663" s="95"/>
      <c r="R663" s="95"/>
      <c r="S663" s="95"/>
      <c r="T663" s="95"/>
      <c r="U663" s="95"/>
      <c r="V663" s="95"/>
      <c r="W663" s="95"/>
      <c r="X663" s="95"/>
      <c r="Y663" s="95"/>
      <c r="Z663" s="95"/>
    </row>
    <row r="664" ht="15.75" hidden="1" customHeight="1" spans="1:26">
      <c r="A664" s="95">
        <f>dados_01!A664</f>
        <v>0</v>
      </c>
      <c r="B664" s="95">
        <f>dados_01!B664</f>
        <v>0</v>
      </c>
      <c r="C664" s="95"/>
      <c r="D664" s="95">
        <f>dados_01!D664</f>
        <v>0</v>
      </c>
      <c r="E664" s="95" t="str">
        <f>CONCATENATE(LEFT(dados_01!E664,3),REPT("*",6),RIGHT(dados_01!E664,2))</f>
        <v>******</v>
      </c>
      <c r="F664" s="95">
        <f>dados_01!F664</f>
        <v>0</v>
      </c>
      <c r="G664" s="95">
        <f>dados_01!G664</f>
        <v>0</v>
      </c>
      <c r="H664" s="95">
        <f>dados_01!H664</f>
        <v>0</v>
      </c>
      <c r="I664" s="95">
        <f>dados_01!I664</f>
        <v>0</v>
      </c>
      <c r="J664" s="95"/>
      <c r="K664" s="95"/>
      <c r="L664" s="95"/>
      <c r="M664" s="95"/>
      <c r="N664" s="95"/>
      <c r="O664" s="95"/>
      <c r="P664" s="95"/>
      <c r="Q664" s="95"/>
      <c r="R664" s="95"/>
      <c r="S664" s="95"/>
      <c r="T664" s="95"/>
      <c r="U664" s="95"/>
      <c r="V664" s="95"/>
      <c r="W664" s="95"/>
      <c r="X664" s="95"/>
      <c r="Y664" s="95"/>
      <c r="Z664" s="95"/>
    </row>
    <row r="665" ht="15.75" hidden="1" customHeight="1" spans="1:26">
      <c r="A665" s="95">
        <f>dados_01!A665</f>
        <v>0</v>
      </c>
      <c r="B665" s="95">
        <f>dados_01!B665</f>
        <v>0</v>
      </c>
      <c r="C665" s="95"/>
      <c r="D665" s="95">
        <f>dados_01!D665</f>
        <v>0</v>
      </c>
      <c r="E665" s="95" t="str">
        <f>CONCATENATE(LEFT(dados_01!E665,3),REPT("*",6),RIGHT(dados_01!E665,2))</f>
        <v>******</v>
      </c>
      <c r="F665" s="95">
        <f>dados_01!F665</f>
        <v>0</v>
      </c>
      <c r="G665" s="95">
        <f>dados_01!G665</f>
        <v>0</v>
      </c>
      <c r="H665" s="95">
        <f>dados_01!H665</f>
        <v>0</v>
      </c>
      <c r="I665" s="95">
        <f>dados_01!I665</f>
        <v>0</v>
      </c>
      <c r="J665" s="95"/>
      <c r="K665" s="95"/>
      <c r="L665" s="95"/>
      <c r="M665" s="95"/>
      <c r="N665" s="95"/>
      <c r="O665" s="95"/>
      <c r="P665" s="95"/>
      <c r="Q665" s="95"/>
      <c r="R665" s="95"/>
      <c r="S665" s="95"/>
      <c r="T665" s="95"/>
      <c r="U665" s="95"/>
      <c r="V665" s="95"/>
      <c r="W665" s="95"/>
      <c r="X665" s="95"/>
      <c r="Y665" s="95"/>
      <c r="Z665" s="95"/>
    </row>
    <row r="666" ht="15.75" hidden="1" customHeight="1" spans="1:26">
      <c r="A666" s="95">
        <f>dados_01!A666</f>
        <v>0</v>
      </c>
      <c r="B666" s="95">
        <f>dados_01!B666</f>
        <v>0</v>
      </c>
      <c r="C666" s="95"/>
      <c r="D666" s="95">
        <f>dados_01!D666</f>
        <v>0</v>
      </c>
      <c r="E666" s="95" t="str">
        <f>CONCATENATE(LEFT(dados_01!E666,3),REPT("*",6),RIGHT(dados_01!E666,2))</f>
        <v>******</v>
      </c>
      <c r="F666" s="95">
        <f>dados_01!F666</f>
        <v>0</v>
      </c>
      <c r="G666" s="95">
        <f>dados_01!G666</f>
        <v>0</v>
      </c>
      <c r="H666" s="95">
        <f>dados_01!H666</f>
        <v>0</v>
      </c>
      <c r="I666" s="95">
        <f>dados_01!I666</f>
        <v>0</v>
      </c>
      <c r="J666" s="95"/>
      <c r="K666" s="95"/>
      <c r="L666" s="95"/>
      <c r="M666" s="95"/>
      <c r="N666" s="95"/>
      <c r="O666" s="95"/>
      <c r="P666" s="95"/>
      <c r="Q666" s="95"/>
      <c r="R666" s="95"/>
      <c r="S666" s="95"/>
      <c r="T666" s="95"/>
      <c r="U666" s="95"/>
      <c r="V666" s="95"/>
      <c r="W666" s="95"/>
      <c r="X666" s="95"/>
      <c r="Y666" s="95"/>
      <c r="Z666" s="95"/>
    </row>
    <row r="667" ht="15.75" hidden="1" customHeight="1" spans="1:26">
      <c r="A667" s="95">
        <f>dados_01!A667</f>
        <v>0</v>
      </c>
      <c r="B667" s="95">
        <f>dados_01!B667</f>
        <v>0</v>
      </c>
      <c r="C667" s="95"/>
      <c r="D667" s="95">
        <f>dados_01!D667</f>
        <v>0</v>
      </c>
      <c r="E667" s="95" t="str">
        <f>CONCATENATE(LEFT(dados_01!E667,3),REPT("*",6),RIGHT(dados_01!E667,2))</f>
        <v>******</v>
      </c>
      <c r="F667" s="95">
        <f>dados_01!F667</f>
        <v>0</v>
      </c>
      <c r="G667" s="95">
        <f>dados_01!G667</f>
        <v>0</v>
      </c>
      <c r="H667" s="95">
        <f>dados_01!H667</f>
        <v>0</v>
      </c>
      <c r="I667" s="95">
        <f>dados_01!I667</f>
        <v>0</v>
      </c>
      <c r="J667" s="95"/>
      <c r="K667" s="95"/>
      <c r="L667" s="95"/>
      <c r="M667" s="95"/>
      <c r="N667" s="95"/>
      <c r="O667" s="95"/>
      <c r="P667" s="95"/>
      <c r="Q667" s="95"/>
      <c r="R667" s="95"/>
      <c r="S667" s="95"/>
      <c r="T667" s="95"/>
      <c r="U667" s="95"/>
      <c r="V667" s="95"/>
      <c r="W667" s="95"/>
      <c r="X667" s="95"/>
      <c r="Y667" s="95"/>
      <c r="Z667" s="95"/>
    </row>
    <row r="668" ht="15.75" hidden="1" customHeight="1" spans="1:26">
      <c r="A668" s="95">
        <f>dados_01!A668</f>
        <v>0</v>
      </c>
      <c r="B668" s="95">
        <f>dados_01!B668</f>
        <v>0</v>
      </c>
      <c r="C668" s="95"/>
      <c r="D668" s="95">
        <f>dados_01!D668</f>
        <v>0</v>
      </c>
      <c r="E668" s="95" t="str">
        <f>CONCATENATE(LEFT(dados_01!E668,3),REPT("*",6),RIGHT(dados_01!E668,2))</f>
        <v>******</v>
      </c>
      <c r="F668" s="95">
        <f>dados_01!F668</f>
        <v>0</v>
      </c>
      <c r="G668" s="95">
        <f>dados_01!G668</f>
        <v>0</v>
      </c>
      <c r="H668" s="95">
        <f>dados_01!H668</f>
        <v>0</v>
      </c>
      <c r="I668" s="95">
        <f>dados_01!I668</f>
        <v>0</v>
      </c>
      <c r="J668" s="95"/>
      <c r="K668" s="95"/>
      <c r="L668" s="95"/>
      <c r="M668" s="95"/>
      <c r="N668" s="95"/>
      <c r="O668" s="95"/>
      <c r="P668" s="95"/>
      <c r="Q668" s="95"/>
      <c r="R668" s="95"/>
      <c r="S668" s="95"/>
      <c r="T668" s="95"/>
      <c r="U668" s="95"/>
      <c r="V668" s="95"/>
      <c r="W668" s="95"/>
      <c r="X668" s="95"/>
      <c r="Y668" s="95"/>
      <c r="Z668" s="95"/>
    </row>
    <row r="669" ht="15.75" hidden="1" customHeight="1" spans="1:26">
      <c r="A669" s="95">
        <f>dados_01!A669</f>
        <v>0</v>
      </c>
      <c r="B669" s="95">
        <f>dados_01!B669</f>
        <v>0</v>
      </c>
      <c r="C669" s="95"/>
      <c r="D669" s="95">
        <f>dados_01!D669</f>
        <v>0</v>
      </c>
      <c r="E669" s="95" t="str">
        <f>CONCATENATE(LEFT(dados_01!E669,3),REPT("*",6),RIGHT(dados_01!E669,2))</f>
        <v>******</v>
      </c>
      <c r="F669" s="95">
        <f>dados_01!F669</f>
        <v>0</v>
      </c>
      <c r="G669" s="95">
        <f>dados_01!G669</f>
        <v>0</v>
      </c>
      <c r="H669" s="95">
        <f>dados_01!H669</f>
        <v>0</v>
      </c>
      <c r="I669" s="95">
        <f>dados_01!I669</f>
        <v>0</v>
      </c>
      <c r="J669" s="95"/>
      <c r="K669" s="95"/>
      <c r="L669" s="95"/>
      <c r="M669" s="95"/>
      <c r="N669" s="95"/>
      <c r="O669" s="95"/>
      <c r="P669" s="95"/>
      <c r="Q669" s="95"/>
      <c r="R669" s="95"/>
      <c r="S669" s="95"/>
      <c r="T669" s="95"/>
      <c r="U669" s="95"/>
      <c r="V669" s="95"/>
      <c r="W669" s="95"/>
      <c r="X669" s="95"/>
      <c r="Y669" s="95"/>
      <c r="Z669" s="95"/>
    </row>
    <row r="670" ht="15.75" hidden="1" customHeight="1" spans="1:26">
      <c r="A670" s="95">
        <f>dados_01!A670</f>
        <v>0</v>
      </c>
      <c r="B670" s="95">
        <f>dados_01!B670</f>
        <v>0</v>
      </c>
      <c r="C670" s="95"/>
      <c r="D670" s="95">
        <f>dados_01!D670</f>
        <v>0</v>
      </c>
      <c r="E670" s="95" t="str">
        <f>CONCATENATE(LEFT(dados_01!E670,3),REPT("*",6),RIGHT(dados_01!E670,2))</f>
        <v>******</v>
      </c>
      <c r="F670" s="95">
        <f>dados_01!F670</f>
        <v>0</v>
      </c>
      <c r="G670" s="95">
        <f>dados_01!G670</f>
        <v>0</v>
      </c>
      <c r="H670" s="95">
        <f>dados_01!H670</f>
        <v>0</v>
      </c>
      <c r="I670" s="95">
        <f>dados_01!I670</f>
        <v>0</v>
      </c>
      <c r="J670" s="95"/>
      <c r="K670" s="95"/>
      <c r="L670" s="95"/>
      <c r="M670" s="95"/>
      <c r="N670" s="95"/>
      <c r="O670" s="95"/>
      <c r="P670" s="95"/>
      <c r="Q670" s="95"/>
      <c r="R670" s="95"/>
      <c r="S670" s="95"/>
      <c r="T670" s="95"/>
      <c r="U670" s="95"/>
      <c r="V670" s="95"/>
      <c r="W670" s="95"/>
      <c r="X670" s="95"/>
      <c r="Y670" s="95"/>
      <c r="Z670" s="95"/>
    </row>
    <row r="671" ht="15.75" hidden="1" customHeight="1" spans="1:26">
      <c r="A671" s="95">
        <f>dados_01!A671</f>
        <v>0</v>
      </c>
      <c r="B671" s="95">
        <f>dados_01!B671</f>
        <v>0</v>
      </c>
      <c r="C671" s="95"/>
      <c r="D671" s="95">
        <f>dados_01!D671</f>
        <v>0</v>
      </c>
      <c r="E671" s="95" t="str">
        <f>CONCATENATE(LEFT(dados_01!E671,3),REPT("*",6),RIGHT(dados_01!E671,2))</f>
        <v>******</v>
      </c>
      <c r="F671" s="95">
        <f>dados_01!F671</f>
        <v>0</v>
      </c>
      <c r="G671" s="95">
        <f>dados_01!G671</f>
        <v>0</v>
      </c>
      <c r="H671" s="95">
        <f>dados_01!H671</f>
        <v>0</v>
      </c>
      <c r="I671" s="95">
        <f>dados_01!I671</f>
        <v>0</v>
      </c>
      <c r="J671" s="95"/>
      <c r="K671" s="95"/>
      <c r="L671" s="95"/>
      <c r="M671" s="95"/>
      <c r="N671" s="95"/>
      <c r="O671" s="95"/>
      <c r="P671" s="95"/>
      <c r="Q671" s="95"/>
      <c r="R671" s="95"/>
      <c r="S671" s="95"/>
      <c r="T671" s="95"/>
      <c r="U671" s="95"/>
      <c r="V671" s="95"/>
      <c r="W671" s="95"/>
      <c r="X671" s="95"/>
      <c r="Y671" s="95"/>
      <c r="Z671" s="95"/>
    </row>
    <row r="672" ht="15.75" hidden="1" customHeight="1" spans="1:26">
      <c r="A672" s="95">
        <f>dados_01!A672</f>
        <v>0</v>
      </c>
      <c r="B672" s="95">
        <f>dados_01!B672</f>
        <v>0</v>
      </c>
      <c r="C672" s="95"/>
      <c r="D672" s="95">
        <f>dados_01!D672</f>
        <v>0</v>
      </c>
      <c r="E672" s="95" t="str">
        <f>CONCATENATE(LEFT(dados_01!E672,3),REPT("*",6),RIGHT(dados_01!E672,2))</f>
        <v>******</v>
      </c>
      <c r="F672" s="95">
        <f>dados_01!F672</f>
        <v>0</v>
      </c>
      <c r="G672" s="95">
        <f>dados_01!G672</f>
        <v>0</v>
      </c>
      <c r="H672" s="95">
        <f>dados_01!H672</f>
        <v>0</v>
      </c>
      <c r="I672" s="95">
        <f>dados_01!I672</f>
        <v>0</v>
      </c>
      <c r="J672" s="95"/>
      <c r="K672" s="95"/>
      <c r="L672" s="95"/>
      <c r="M672" s="95"/>
      <c r="N672" s="95"/>
      <c r="O672" s="95"/>
      <c r="P672" s="95"/>
      <c r="Q672" s="95"/>
      <c r="R672" s="95"/>
      <c r="S672" s="95"/>
      <c r="T672" s="95"/>
      <c r="U672" s="95"/>
      <c r="V672" s="95"/>
      <c r="W672" s="95"/>
      <c r="X672" s="95"/>
      <c r="Y672" s="95"/>
      <c r="Z672" s="95"/>
    </row>
    <row r="673" ht="15.75" hidden="1" customHeight="1" spans="1:26">
      <c r="A673" s="95">
        <f>dados_01!A673</f>
        <v>0</v>
      </c>
      <c r="B673" s="95">
        <f>dados_01!B673</f>
        <v>0</v>
      </c>
      <c r="C673" s="95"/>
      <c r="D673" s="95">
        <f>dados_01!D673</f>
        <v>0</v>
      </c>
      <c r="E673" s="95" t="str">
        <f>CONCATENATE(LEFT(dados_01!E673,3),REPT("*",6),RIGHT(dados_01!E673,2))</f>
        <v>******</v>
      </c>
      <c r="F673" s="95">
        <f>dados_01!F673</f>
        <v>0</v>
      </c>
      <c r="G673" s="95">
        <f>dados_01!G673</f>
        <v>0</v>
      </c>
      <c r="H673" s="95">
        <f>dados_01!H673</f>
        <v>0</v>
      </c>
      <c r="I673" s="95">
        <f>dados_01!I673</f>
        <v>0</v>
      </c>
      <c r="J673" s="95"/>
      <c r="K673" s="95"/>
      <c r="L673" s="95"/>
      <c r="M673" s="95"/>
      <c r="N673" s="95"/>
      <c r="O673" s="95"/>
      <c r="P673" s="95"/>
      <c r="Q673" s="95"/>
      <c r="R673" s="95"/>
      <c r="S673" s="95"/>
      <c r="T673" s="95"/>
      <c r="U673" s="95"/>
      <c r="V673" s="95"/>
      <c r="W673" s="95"/>
      <c r="X673" s="95"/>
      <c r="Y673" s="95"/>
      <c r="Z673" s="95"/>
    </row>
    <row r="674" ht="15.75" hidden="1" customHeight="1" spans="1:26">
      <c r="A674" s="95">
        <f>dados_01!A674</f>
        <v>0</v>
      </c>
      <c r="B674" s="95">
        <f>dados_01!B674</f>
        <v>0</v>
      </c>
      <c r="C674" s="95"/>
      <c r="D674" s="95">
        <f>dados_01!D674</f>
        <v>0</v>
      </c>
      <c r="E674" s="95" t="str">
        <f>CONCATENATE(LEFT(dados_01!E674,3),REPT("*",6),RIGHT(dados_01!E674,2))</f>
        <v>******</v>
      </c>
      <c r="F674" s="95">
        <f>dados_01!F674</f>
        <v>0</v>
      </c>
      <c r="G674" s="95">
        <f>dados_01!G674</f>
        <v>0</v>
      </c>
      <c r="H674" s="95">
        <f>dados_01!H674</f>
        <v>0</v>
      </c>
      <c r="I674" s="95">
        <f>dados_01!I674</f>
        <v>0</v>
      </c>
      <c r="J674" s="95"/>
      <c r="K674" s="95"/>
      <c r="L674" s="95"/>
      <c r="M674" s="95"/>
      <c r="N674" s="95"/>
      <c r="O674" s="95"/>
      <c r="P674" s="95"/>
      <c r="Q674" s="95"/>
      <c r="R674" s="95"/>
      <c r="S674" s="95"/>
      <c r="T674" s="95"/>
      <c r="U674" s="95"/>
      <c r="V674" s="95"/>
      <c r="W674" s="95"/>
      <c r="X674" s="95"/>
      <c r="Y674" s="95"/>
      <c r="Z674" s="95"/>
    </row>
    <row r="675" ht="15.75" hidden="1" customHeight="1" spans="1:26">
      <c r="A675" s="95">
        <f>dados_01!A675</f>
        <v>0</v>
      </c>
      <c r="B675" s="95">
        <f>dados_01!B675</f>
        <v>0</v>
      </c>
      <c r="C675" s="95"/>
      <c r="D675" s="95">
        <f>dados_01!D675</f>
        <v>0</v>
      </c>
      <c r="E675" s="95" t="str">
        <f>CONCATENATE(LEFT(dados_01!E675,3),REPT("*",6),RIGHT(dados_01!E675,2))</f>
        <v>******</v>
      </c>
      <c r="F675" s="95">
        <f>dados_01!F675</f>
        <v>0</v>
      </c>
      <c r="G675" s="95">
        <f>dados_01!G675</f>
        <v>0</v>
      </c>
      <c r="H675" s="95">
        <f>dados_01!H675</f>
        <v>0</v>
      </c>
      <c r="I675" s="95">
        <f>dados_01!I675</f>
        <v>0</v>
      </c>
      <c r="J675" s="95"/>
      <c r="K675" s="95"/>
      <c r="L675" s="95"/>
      <c r="M675" s="95"/>
      <c r="N675" s="95"/>
      <c r="O675" s="95"/>
      <c r="P675" s="95"/>
      <c r="Q675" s="95"/>
      <c r="R675" s="95"/>
      <c r="S675" s="95"/>
      <c r="T675" s="95"/>
      <c r="U675" s="95"/>
      <c r="V675" s="95"/>
      <c r="W675" s="95"/>
      <c r="X675" s="95"/>
      <c r="Y675" s="95"/>
      <c r="Z675" s="95"/>
    </row>
    <row r="676" ht="15.75" hidden="1" customHeight="1" spans="1:26">
      <c r="A676" s="95">
        <f>dados_01!A676</f>
        <v>0</v>
      </c>
      <c r="B676" s="95">
        <f>dados_01!B676</f>
        <v>0</v>
      </c>
      <c r="C676" s="95"/>
      <c r="D676" s="95">
        <f>dados_01!D676</f>
        <v>0</v>
      </c>
      <c r="E676" s="95" t="str">
        <f>CONCATENATE(LEFT(dados_01!E676,3),REPT("*",6),RIGHT(dados_01!E676,2))</f>
        <v>******</v>
      </c>
      <c r="F676" s="95">
        <f>dados_01!F676</f>
        <v>0</v>
      </c>
      <c r="G676" s="95">
        <f>dados_01!G676</f>
        <v>0</v>
      </c>
      <c r="H676" s="95">
        <f>dados_01!H676</f>
        <v>0</v>
      </c>
      <c r="I676" s="95">
        <f>dados_01!I676</f>
        <v>0</v>
      </c>
      <c r="J676" s="95"/>
      <c r="K676" s="95"/>
      <c r="L676" s="95"/>
      <c r="M676" s="95"/>
      <c r="N676" s="95"/>
      <c r="O676" s="95"/>
      <c r="P676" s="95"/>
      <c r="Q676" s="95"/>
      <c r="R676" s="95"/>
      <c r="S676" s="95"/>
      <c r="T676" s="95"/>
      <c r="U676" s="95"/>
      <c r="V676" s="95"/>
      <c r="W676" s="95"/>
      <c r="X676" s="95"/>
      <c r="Y676" s="95"/>
      <c r="Z676" s="95"/>
    </row>
    <row r="677" ht="15.75" hidden="1" customHeight="1" spans="1:26">
      <c r="A677" s="95">
        <f>dados_01!A677</f>
        <v>0</v>
      </c>
      <c r="B677" s="95">
        <f>dados_01!B677</f>
        <v>0</v>
      </c>
      <c r="C677" s="95"/>
      <c r="D677" s="95">
        <f>dados_01!D677</f>
        <v>0</v>
      </c>
      <c r="E677" s="95" t="str">
        <f>CONCATENATE(LEFT(dados_01!E677,3),REPT("*",6),RIGHT(dados_01!E677,2))</f>
        <v>******</v>
      </c>
      <c r="F677" s="95">
        <f>dados_01!F677</f>
        <v>0</v>
      </c>
      <c r="G677" s="95">
        <f>dados_01!G677</f>
        <v>0</v>
      </c>
      <c r="H677" s="95">
        <f>dados_01!H677</f>
        <v>0</v>
      </c>
      <c r="I677" s="95">
        <f>dados_01!I677</f>
        <v>0</v>
      </c>
      <c r="J677" s="95"/>
      <c r="K677" s="95"/>
      <c r="L677" s="95"/>
      <c r="M677" s="95"/>
      <c r="N677" s="95"/>
      <c r="O677" s="95"/>
      <c r="P677" s="95"/>
      <c r="Q677" s="95"/>
      <c r="R677" s="95"/>
      <c r="S677" s="95"/>
      <c r="T677" s="95"/>
      <c r="U677" s="95"/>
      <c r="V677" s="95"/>
      <c r="W677" s="95"/>
      <c r="X677" s="95"/>
      <c r="Y677" s="95"/>
      <c r="Z677" s="95"/>
    </row>
    <row r="678" ht="15.75" hidden="1" customHeight="1" spans="1:26">
      <c r="A678" s="95">
        <f>dados_01!A678</f>
        <v>0</v>
      </c>
      <c r="B678" s="95">
        <f>dados_01!B678</f>
        <v>0</v>
      </c>
      <c r="C678" s="95"/>
      <c r="D678" s="95">
        <f>dados_01!D678</f>
        <v>0</v>
      </c>
      <c r="E678" s="95" t="str">
        <f>CONCATENATE(LEFT(dados_01!E678,3),REPT("*",6),RIGHT(dados_01!E678,2))</f>
        <v>******</v>
      </c>
      <c r="F678" s="95">
        <f>dados_01!F678</f>
        <v>0</v>
      </c>
      <c r="G678" s="95">
        <f>dados_01!G678</f>
        <v>0</v>
      </c>
      <c r="H678" s="95">
        <f>dados_01!H678</f>
        <v>0</v>
      </c>
      <c r="I678" s="95">
        <f>dados_01!I678</f>
        <v>0</v>
      </c>
      <c r="J678" s="95"/>
      <c r="K678" s="95"/>
      <c r="L678" s="95"/>
      <c r="M678" s="95"/>
      <c r="N678" s="95"/>
      <c r="O678" s="95"/>
      <c r="P678" s="95"/>
      <c r="Q678" s="95"/>
      <c r="R678" s="95"/>
      <c r="S678" s="95"/>
      <c r="T678" s="95"/>
      <c r="U678" s="95"/>
      <c r="V678" s="95"/>
      <c r="W678" s="95"/>
      <c r="X678" s="95"/>
      <c r="Y678" s="95"/>
      <c r="Z678" s="95"/>
    </row>
    <row r="679" ht="15.75" hidden="1" customHeight="1" spans="1:26">
      <c r="A679" s="95">
        <f>dados_01!A679</f>
        <v>0</v>
      </c>
      <c r="B679" s="95">
        <f>dados_01!B679</f>
        <v>0</v>
      </c>
      <c r="C679" s="95"/>
      <c r="D679" s="95">
        <f>dados_01!D679</f>
        <v>0</v>
      </c>
      <c r="E679" s="95" t="str">
        <f>CONCATENATE(LEFT(dados_01!E679,3),REPT("*",6),RIGHT(dados_01!E679,2))</f>
        <v>******</v>
      </c>
      <c r="F679" s="95">
        <f>dados_01!F679</f>
        <v>0</v>
      </c>
      <c r="G679" s="95">
        <f>dados_01!G679</f>
        <v>0</v>
      </c>
      <c r="H679" s="95">
        <f>dados_01!H679</f>
        <v>0</v>
      </c>
      <c r="I679" s="95">
        <f>dados_01!I679</f>
        <v>0</v>
      </c>
      <c r="J679" s="95"/>
      <c r="K679" s="95"/>
      <c r="L679" s="95"/>
      <c r="M679" s="95"/>
      <c r="N679" s="95"/>
      <c r="O679" s="95"/>
      <c r="P679" s="95"/>
      <c r="Q679" s="95"/>
      <c r="R679" s="95"/>
      <c r="S679" s="95"/>
      <c r="T679" s="95"/>
      <c r="U679" s="95"/>
      <c r="V679" s="95"/>
      <c r="W679" s="95"/>
      <c r="X679" s="95"/>
      <c r="Y679" s="95"/>
      <c r="Z679" s="95"/>
    </row>
    <row r="680" ht="15.75" hidden="1" customHeight="1" spans="1:26">
      <c r="A680" s="95">
        <f>dados_01!A680</f>
        <v>0</v>
      </c>
      <c r="B680" s="95">
        <f>dados_01!B680</f>
        <v>0</v>
      </c>
      <c r="C680" s="95"/>
      <c r="D680" s="95">
        <f>dados_01!D680</f>
        <v>0</v>
      </c>
      <c r="E680" s="95" t="str">
        <f>CONCATENATE(LEFT(dados_01!E680,3),REPT("*",6),RIGHT(dados_01!E680,2))</f>
        <v>******</v>
      </c>
      <c r="F680" s="95">
        <f>dados_01!F680</f>
        <v>0</v>
      </c>
      <c r="G680" s="95">
        <f>dados_01!G680</f>
        <v>0</v>
      </c>
      <c r="H680" s="95">
        <f>dados_01!H680</f>
        <v>0</v>
      </c>
      <c r="I680" s="95">
        <f>dados_01!I680</f>
        <v>0</v>
      </c>
      <c r="J680" s="95"/>
      <c r="K680" s="95"/>
      <c r="L680" s="95"/>
      <c r="M680" s="95"/>
      <c r="N680" s="95"/>
      <c r="O680" s="95"/>
      <c r="P680" s="95"/>
      <c r="Q680" s="95"/>
      <c r="R680" s="95"/>
      <c r="S680" s="95"/>
      <c r="T680" s="95"/>
      <c r="U680" s="95"/>
      <c r="V680" s="95"/>
      <c r="W680" s="95"/>
      <c r="X680" s="95"/>
      <c r="Y680" s="95"/>
      <c r="Z680" s="95"/>
    </row>
    <row r="681" ht="15.75" hidden="1" customHeight="1" spans="1:26">
      <c r="A681" s="95"/>
      <c r="B681" s="95"/>
      <c r="C681" s="95"/>
      <c r="D681" s="95"/>
      <c r="E681" s="95"/>
      <c r="F681" s="95"/>
      <c r="G681" s="95"/>
      <c r="H681" s="95"/>
      <c r="I681" s="95"/>
      <c r="J681" s="95"/>
      <c r="K681" s="95"/>
      <c r="L681" s="95"/>
      <c r="M681" s="95"/>
      <c r="N681" s="95"/>
      <c r="O681" s="95"/>
      <c r="P681" s="95"/>
      <c r="Q681" s="95"/>
      <c r="R681" s="95"/>
      <c r="S681" s="95"/>
      <c r="T681" s="95"/>
      <c r="U681" s="95"/>
      <c r="V681" s="95"/>
      <c r="W681" s="95"/>
      <c r="X681" s="95"/>
      <c r="Y681" s="95"/>
      <c r="Z681" s="95"/>
    </row>
    <row r="682" ht="15.75" hidden="1" customHeight="1" spans="1:26">
      <c r="A682" s="95"/>
      <c r="B682" s="95"/>
      <c r="C682" s="95"/>
      <c r="D682" s="95"/>
      <c r="E682" s="95"/>
      <c r="F682" s="95"/>
      <c r="G682" s="95"/>
      <c r="H682" s="95"/>
      <c r="I682" s="95"/>
      <c r="J682" s="95"/>
      <c r="K682" s="95"/>
      <c r="L682" s="95"/>
      <c r="M682" s="95"/>
      <c r="N682" s="95"/>
      <c r="O682" s="95"/>
      <c r="P682" s="95"/>
      <c r="Q682" s="95"/>
      <c r="R682" s="95"/>
      <c r="S682" s="95"/>
      <c r="T682" s="95"/>
      <c r="U682" s="95"/>
      <c r="V682" s="95"/>
      <c r="W682" s="95"/>
      <c r="X682" s="95"/>
      <c r="Y682" s="95"/>
      <c r="Z682" s="95"/>
    </row>
    <row r="683" ht="15.75" hidden="1" customHeight="1" spans="1:26">
      <c r="A683" s="95"/>
      <c r="B683" s="95"/>
      <c r="C683" s="95"/>
      <c r="D683" s="95"/>
      <c r="E683" s="95"/>
      <c r="F683" s="95"/>
      <c r="G683" s="95"/>
      <c r="H683" s="95"/>
      <c r="I683" s="95"/>
      <c r="J683" s="95"/>
      <c r="K683" s="95"/>
      <c r="L683" s="95"/>
      <c r="M683" s="95"/>
      <c r="N683" s="95"/>
      <c r="O683" s="95"/>
      <c r="P683" s="95"/>
      <c r="Q683" s="95"/>
      <c r="R683" s="95"/>
      <c r="S683" s="95"/>
      <c r="T683" s="95"/>
      <c r="U683" s="95"/>
      <c r="V683" s="95"/>
      <c r="W683" s="95"/>
      <c r="X683" s="95"/>
      <c r="Y683" s="95"/>
      <c r="Z683" s="95"/>
    </row>
    <row r="684" ht="15.75" hidden="1" customHeight="1" spans="1:26">
      <c r="A684" s="95"/>
      <c r="B684" s="95"/>
      <c r="C684" s="95"/>
      <c r="D684" s="95"/>
      <c r="E684" s="95"/>
      <c r="F684" s="95"/>
      <c r="G684" s="95"/>
      <c r="H684" s="95"/>
      <c r="I684" s="95"/>
      <c r="J684" s="95"/>
      <c r="K684" s="95"/>
      <c r="L684" s="95"/>
      <c r="M684" s="95"/>
      <c r="N684" s="95"/>
      <c r="O684" s="95"/>
      <c r="P684" s="95"/>
      <c r="Q684" s="95"/>
      <c r="R684" s="95"/>
      <c r="S684" s="95"/>
      <c r="T684" s="95"/>
      <c r="U684" s="95"/>
      <c r="V684" s="95"/>
      <c r="W684" s="95"/>
      <c r="X684" s="95"/>
      <c r="Y684" s="95"/>
      <c r="Z684" s="95"/>
    </row>
    <row r="685" ht="15.75" hidden="1" customHeight="1" spans="1:26">
      <c r="A685" s="95"/>
      <c r="B685" s="95"/>
      <c r="C685" s="95"/>
      <c r="D685" s="95"/>
      <c r="E685" s="95"/>
      <c r="F685" s="95"/>
      <c r="G685" s="95"/>
      <c r="H685" s="95"/>
      <c r="I685" s="95"/>
      <c r="J685" s="95"/>
      <c r="K685" s="95"/>
      <c r="L685" s="95"/>
      <c r="M685" s="95"/>
      <c r="N685" s="95"/>
      <c r="O685" s="95"/>
      <c r="P685" s="95"/>
      <c r="Q685" s="95"/>
      <c r="R685" s="95"/>
      <c r="S685" s="95"/>
      <c r="T685" s="95"/>
      <c r="U685" s="95"/>
      <c r="V685" s="95"/>
      <c r="W685" s="95"/>
      <c r="X685" s="95"/>
      <c r="Y685" s="95"/>
      <c r="Z685" s="95"/>
    </row>
    <row r="686" ht="15.75" hidden="1" customHeight="1" spans="1:26">
      <c r="A686" s="95"/>
      <c r="B686" s="95"/>
      <c r="C686" s="95"/>
      <c r="D686" s="95"/>
      <c r="E686" s="95"/>
      <c r="F686" s="95"/>
      <c r="G686" s="95"/>
      <c r="H686" s="95"/>
      <c r="I686" s="95"/>
      <c r="J686" s="95"/>
      <c r="K686" s="95"/>
      <c r="L686" s="95"/>
      <c r="M686" s="95"/>
      <c r="N686" s="95"/>
      <c r="O686" s="95"/>
      <c r="P686" s="95"/>
      <c r="Q686" s="95"/>
      <c r="R686" s="95"/>
      <c r="S686" s="95"/>
      <c r="T686" s="95"/>
      <c r="U686" s="95"/>
      <c r="V686" s="95"/>
      <c r="W686" s="95"/>
      <c r="X686" s="95"/>
      <c r="Y686" s="95"/>
      <c r="Z686" s="95"/>
    </row>
    <row r="687" ht="15.75" hidden="1" customHeight="1" spans="1:26">
      <c r="A687" s="95"/>
      <c r="B687" s="95"/>
      <c r="C687" s="95"/>
      <c r="D687" s="95"/>
      <c r="E687" s="95"/>
      <c r="F687" s="95"/>
      <c r="G687" s="95"/>
      <c r="H687" s="95"/>
      <c r="I687" s="95"/>
      <c r="J687" s="95"/>
      <c r="K687" s="95"/>
      <c r="L687" s="95"/>
      <c r="M687" s="95"/>
      <c r="N687" s="95"/>
      <c r="O687" s="95"/>
      <c r="P687" s="95"/>
      <c r="Q687" s="95"/>
      <c r="R687" s="95"/>
      <c r="S687" s="95"/>
      <c r="T687" s="95"/>
      <c r="U687" s="95"/>
      <c r="V687" s="95"/>
      <c r="W687" s="95"/>
      <c r="X687" s="95"/>
      <c r="Y687" s="95"/>
      <c r="Z687" s="95"/>
    </row>
    <row r="688" ht="15.75" hidden="1" customHeight="1" spans="1:26">
      <c r="A688" s="95"/>
      <c r="B688" s="95"/>
      <c r="C688" s="95"/>
      <c r="D688" s="95"/>
      <c r="E688" s="95"/>
      <c r="F688" s="95"/>
      <c r="G688" s="95"/>
      <c r="H688" s="95"/>
      <c r="I688" s="95"/>
      <c r="J688" s="95"/>
      <c r="K688" s="95"/>
      <c r="L688" s="95"/>
      <c r="M688" s="95"/>
      <c r="N688" s="95"/>
      <c r="O688" s="95"/>
      <c r="P688" s="95"/>
      <c r="Q688" s="95"/>
      <c r="R688" s="95"/>
      <c r="S688" s="95"/>
      <c r="T688" s="95"/>
      <c r="U688" s="95"/>
      <c r="V688" s="95"/>
      <c r="W688" s="95"/>
      <c r="X688" s="95"/>
      <c r="Y688" s="95"/>
      <c r="Z688" s="95"/>
    </row>
    <row r="689" ht="15.75" hidden="1" customHeight="1" spans="1:26">
      <c r="A689" s="95"/>
      <c r="B689" s="95"/>
      <c r="C689" s="95"/>
      <c r="D689" s="95"/>
      <c r="E689" s="95"/>
      <c r="F689" s="95"/>
      <c r="G689" s="95"/>
      <c r="H689" s="95"/>
      <c r="I689" s="95"/>
      <c r="J689" s="95"/>
      <c r="K689" s="95"/>
      <c r="L689" s="95"/>
      <c r="M689" s="95"/>
      <c r="N689" s="95"/>
      <c r="O689" s="95"/>
      <c r="P689" s="95"/>
      <c r="Q689" s="95"/>
      <c r="R689" s="95"/>
      <c r="S689" s="95"/>
      <c r="T689" s="95"/>
      <c r="U689" s="95"/>
      <c r="V689" s="95"/>
      <c r="W689" s="95"/>
      <c r="X689" s="95"/>
      <c r="Y689" s="95"/>
      <c r="Z689" s="95"/>
    </row>
    <row r="690" ht="15.75" hidden="1" customHeight="1" spans="1:26">
      <c r="A690" s="95"/>
      <c r="B690" s="95"/>
      <c r="C690" s="95"/>
      <c r="D690" s="95"/>
      <c r="E690" s="95"/>
      <c r="F690" s="95"/>
      <c r="G690" s="95"/>
      <c r="H690" s="95"/>
      <c r="I690" s="95"/>
      <c r="J690" s="95"/>
      <c r="K690" s="95"/>
      <c r="L690" s="95"/>
      <c r="M690" s="95"/>
      <c r="N690" s="95"/>
      <c r="O690" s="95"/>
      <c r="P690" s="95"/>
      <c r="Q690" s="95"/>
      <c r="R690" s="95"/>
      <c r="S690" s="95"/>
      <c r="T690" s="95"/>
      <c r="U690" s="95"/>
      <c r="V690" s="95"/>
      <c r="W690" s="95"/>
      <c r="X690" s="95"/>
      <c r="Y690" s="95"/>
      <c r="Z690" s="95"/>
    </row>
    <row r="691" ht="15.75" hidden="1" customHeight="1" spans="1:26">
      <c r="A691" s="95"/>
      <c r="B691" s="95"/>
      <c r="C691" s="95"/>
      <c r="D691" s="95"/>
      <c r="E691" s="95"/>
      <c r="F691" s="95"/>
      <c r="G691" s="95"/>
      <c r="H691" s="95"/>
      <c r="I691" s="95"/>
      <c r="J691" s="95"/>
      <c r="K691" s="95"/>
      <c r="L691" s="95"/>
      <c r="M691" s="95"/>
      <c r="N691" s="95"/>
      <c r="O691" s="95"/>
      <c r="P691" s="95"/>
      <c r="Q691" s="95"/>
      <c r="R691" s="95"/>
      <c r="S691" s="95"/>
      <c r="T691" s="95"/>
      <c r="U691" s="95"/>
      <c r="V691" s="95"/>
      <c r="W691" s="95"/>
      <c r="X691" s="95"/>
      <c r="Y691" s="95"/>
      <c r="Z691" s="95"/>
    </row>
    <row r="692" ht="15.75" hidden="1" customHeight="1" spans="1:26">
      <c r="A692" s="95"/>
      <c r="B692" s="95"/>
      <c r="C692" s="95"/>
      <c r="D692" s="95"/>
      <c r="E692" s="95"/>
      <c r="F692" s="95"/>
      <c r="G692" s="95"/>
      <c r="H692" s="95"/>
      <c r="I692" s="95"/>
      <c r="J692" s="95"/>
      <c r="K692" s="95"/>
      <c r="L692" s="95"/>
      <c r="M692" s="95"/>
      <c r="N692" s="95"/>
      <c r="O692" s="95"/>
      <c r="P692" s="95"/>
      <c r="Q692" s="95"/>
      <c r="R692" s="95"/>
      <c r="S692" s="95"/>
      <c r="T692" s="95"/>
      <c r="U692" s="95"/>
      <c r="V692" s="95"/>
      <c r="W692" s="95"/>
      <c r="X692" s="95"/>
      <c r="Y692" s="95"/>
      <c r="Z692" s="95"/>
    </row>
    <row r="693" ht="15.75" hidden="1" customHeight="1" spans="1:26">
      <c r="A693" s="95"/>
      <c r="B693" s="95"/>
      <c r="C693" s="95"/>
      <c r="D693" s="95"/>
      <c r="E693" s="95"/>
      <c r="F693" s="95"/>
      <c r="G693" s="95"/>
      <c r="H693" s="95"/>
      <c r="I693" s="95"/>
      <c r="J693" s="95"/>
      <c r="K693" s="95"/>
      <c r="L693" s="95"/>
      <c r="M693" s="95"/>
      <c r="N693" s="95"/>
      <c r="O693" s="95"/>
      <c r="P693" s="95"/>
      <c r="Q693" s="95"/>
      <c r="R693" s="95"/>
      <c r="S693" s="95"/>
      <c r="T693" s="95"/>
      <c r="U693" s="95"/>
      <c r="V693" s="95"/>
      <c r="W693" s="95"/>
      <c r="X693" s="95"/>
      <c r="Y693" s="95"/>
      <c r="Z693" s="95"/>
    </row>
    <row r="694" ht="15.75" hidden="1" customHeight="1" spans="1:26">
      <c r="A694" s="95"/>
      <c r="B694" s="95"/>
      <c r="C694" s="95"/>
      <c r="D694" s="95"/>
      <c r="E694" s="95"/>
      <c r="F694" s="95"/>
      <c r="G694" s="95"/>
      <c r="H694" s="95"/>
      <c r="I694" s="95"/>
      <c r="J694" s="95"/>
      <c r="K694" s="95"/>
      <c r="L694" s="95"/>
      <c r="M694" s="95"/>
      <c r="N694" s="95"/>
      <c r="O694" s="95"/>
      <c r="P694" s="95"/>
      <c r="Q694" s="95"/>
      <c r="R694" s="95"/>
      <c r="S694" s="95"/>
      <c r="T694" s="95"/>
      <c r="U694" s="95"/>
      <c r="V694" s="95"/>
      <c r="W694" s="95"/>
      <c r="X694" s="95"/>
      <c r="Y694" s="95"/>
      <c r="Z694" s="95"/>
    </row>
    <row r="695" ht="15.75" hidden="1" customHeight="1" spans="1:26">
      <c r="A695" s="95"/>
      <c r="B695" s="95"/>
      <c r="C695" s="95"/>
      <c r="D695" s="95"/>
      <c r="E695" s="95"/>
      <c r="F695" s="95"/>
      <c r="G695" s="95"/>
      <c r="H695" s="95"/>
      <c r="I695" s="95"/>
      <c r="J695" s="95"/>
      <c r="K695" s="95"/>
      <c r="L695" s="95"/>
      <c r="M695" s="95"/>
      <c r="N695" s="95"/>
      <c r="O695" s="95"/>
      <c r="P695" s="95"/>
      <c r="Q695" s="95"/>
      <c r="R695" s="95"/>
      <c r="S695" s="95"/>
      <c r="T695" s="95"/>
      <c r="U695" s="95"/>
      <c r="V695" s="95"/>
      <c r="W695" s="95"/>
      <c r="X695" s="95"/>
      <c r="Y695" s="95"/>
      <c r="Z695" s="95"/>
    </row>
    <row r="696" ht="15.75" hidden="1" customHeight="1" spans="1:26">
      <c r="A696" s="95"/>
      <c r="B696" s="95"/>
      <c r="C696" s="95"/>
      <c r="D696" s="95"/>
      <c r="E696" s="95"/>
      <c r="F696" s="95"/>
      <c r="G696" s="95"/>
      <c r="H696" s="95"/>
      <c r="I696" s="95"/>
      <c r="J696" s="95"/>
      <c r="K696" s="95"/>
      <c r="L696" s="95"/>
      <c r="M696" s="95"/>
      <c r="N696" s="95"/>
      <c r="O696" s="95"/>
      <c r="P696" s="95"/>
      <c r="Q696" s="95"/>
      <c r="R696" s="95"/>
      <c r="S696" s="95"/>
      <c r="T696" s="95"/>
      <c r="U696" s="95"/>
      <c r="V696" s="95"/>
      <c r="W696" s="95"/>
      <c r="X696" s="95"/>
      <c r="Y696" s="95"/>
      <c r="Z696" s="95"/>
    </row>
    <row r="697" ht="15.75" hidden="1" customHeight="1" spans="1:26">
      <c r="A697" s="95"/>
      <c r="B697" s="95"/>
      <c r="C697" s="95"/>
      <c r="D697" s="95"/>
      <c r="E697" s="95"/>
      <c r="F697" s="95"/>
      <c r="G697" s="95"/>
      <c r="H697" s="95"/>
      <c r="I697" s="95"/>
      <c r="J697" s="95"/>
      <c r="K697" s="95"/>
      <c r="L697" s="95"/>
      <c r="M697" s="95"/>
      <c r="N697" s="95"/>
      <c r="O697" s="95"/>
      <c r="P697" s="95"/>
      <c r="Q697" s="95"/>
      <c r="R697" s="95"/>
      <c r="S697" s="95"/>
      <c r="T697" s="95"/>
      <c r="U697" s="95"/>
      <c r="V697" s="95"/>
      <c r="W697" s="95"/>
      <c r="X697" s="95"/>
      <c r="Y697" s="95"/>
      <c r="Z697" s="95"/>
    </row>
    <row r="698" ht="15.75" hidden="1" customHeight="1" spans="1:26">
      <c r="A698" s="95"/>
      <c r="B698" s="95"/>
      <c r="C698" s="95"/>
      <c r="D698" s="95"/>
      <c r="E698" s="95"/>
      <c r="F698" s="95"/>
      <c r="G698" s="95"/>
      <c r="H698" s="95"/>
      <c r="I698" s="95"/>
      <c r="J698" s="95"/>
      <c r="K698" s="95"/>
      <c r="L698" s="95"/>
      <c r="M698" s="95"/>
      <c r="N698" s="95"/>
      <c r="O698" s="95"/>
      <c r="P698" s="95"/>
      <c r="Q698" s="95"/>
      <c r="R698" s="95"/>
      <c r="S698" s="95"/>
      <c r="T698" s="95"/>
      <c r="U698" s="95"/>
      <c r="V698" s="95"/>
      <c r="W698" s="95"/>
      <c r="X698" s="95"/>
      <c r="Y698" s="95"/>
      <c r="Z698" s="95"/>
    </row>
    <row r="699" ht="15.75" hidden="1" customHeight="1" spans="1:26">
      <c r="A699" s="95"/>
      <c r="B699" s="95"/>
      <c r="C699" s="95"/>
      <c r="D699" s="95"/>
      <c r="E699" s="95"/>
      <c r="F699" s="95"/>
      <c r="G699" s="95"/>
      <c r="H699" s="95"/>
      <c r="I699" s="95"/>
      <c r="J699" s="95"/>
      <c r="K699" s="95"/>
      <c r="L699" s="95"/>
      <c r="M699" s="95"/>
      <c r="N699" s="95"/>
      <c r="O699" s="95"/>
      <c r="P699" s="95"/>
      <c r="Q699" s="95"/>
      <c r="R699" s="95"/>
      <c r="S699" s="95"/>
      <c r="T699" s="95"/>
      <c r="U699" s="95"/>
      <c r="V699" s="95"/>
      <c r="W699" s="95"/>
      <c r="X699" s="95"/>
      <c r="Y699" s="95"/>
      <c r="Z699" s="95"/>
    </row>
    <row r="700" ht="15.75" hidden="1" customHeight="1" spans="1:26">
      <c r="A700" s="95"/>
      <c r="B700" s="95"/>
      <c r="C700" s="95"/>
      <c r="D700" s="95"/>
      <c r="E700" s="95"/>
      <c r="F700" s="95"/>
      <c r="G700" s="95"/>
      <c r="H700" s="95"/>
      <c r="I700" s="95"/>
      <c r="J700" s="95"/>
      <c r="K700" s="95"/>
      <c r="L700" s="95"/>
      <c r="M700" s="95"/>
      <c r="N700" s="95"/>
      <c r="O700" s="95"/>
      <c r="P700" s="95"/>
      <c r="Q700" s="95"/>
      <c r="R700" s="95"/>
      <c r="S700" s="95"/>
      <c r="T700" s="95"/>
      <c r="U700" s="95"/>
      <c r="V700" s="95"/>
      <c r="W700" s="95"/>
      <c r="X700" s="95"/>
      <c r="Y700" s="95"/>
      <c r="Z700" s="95"/>
    </row>
    <row r="701" ht="15.75" hidden="1" customHeight="1" spans="1:26">
      <c r="A701" s="95"/>
      <c r="B701" s="95"/>
      <c r="C701" s="95"/>
      <c r="D701" s="95"/>
      <c r="E701" s="95"/>
      <c r="F701" s="95"/>
      <c r="G701" s="95"/>
      <c r="H701" s="95"/>
      <c r="I701" s="95"/>
      <c r="J701" s="95"/>
      <c r="K701" s="95"/>
      <c r="L701" s="95"/>
      <c r="M701" s="95"/>
      <c r="N701" s="95"/>
      <c r="O701" s="95"/>
      <c r="P701" s="95"/>
      <c r="Q701" s="95"/>
      <c r="R701" s="95"/>
      <c r="S701" s="95"/>
      <c r="T701" s="95"/>
      <c r="U701" s="95"/>
      <c r="V701" s="95"/>
      <c r="W701" s="95"/>
      <c r="X701" s="95"/>
      <c r="Y701" s="95"/>
      <c r="Z701" s="95"/>
    </row>
    <row r="702" ht="15.75" hidden="1" customHeight="1" spans="1:26">
      <c r="A702" s="95"/>
      <c r="B702" s="95"/>
      <c r="C702" s="95"/>
      <c r="D702" s="95"/>
      <c r="E702" s="95"/>
      <c r="F702" s="95"/>
      <c r="G702" s="95"/>
      <c r="H702" s="95"/>
      <c r="I702" s="95"/>
      <c r="J702" s="95"/>
      <c r="K702" s="95"/>
      <c r="L702" s="95"/>
      <c r="M702" s="95"/>
      <c r="N702" s="95"/>
      <c r="O702" s="95"/>
      <c r="P702" s="95"/>
      <c r="Q702" s="95"/>
      <c r="R702" s="95"/>
      <c r="S702" s="95"/>
      <c r="T702" s="95"/>
      <c r="U702" s="95"/>
      <c r="V702" s="95"/>
      <c r="W702" s="95"/>
      <c r="X702" s="95"/>
      <c r="Y702" s="95"/>
      <c r="Z702" s="95"/>
    </row>
    <row r="703" ht="15.75" hidden="1" customHeight="1" spans="1:26">
      <c r="A703" s="95"/>
      <c r="B703" s="95"/>
      <c r="C703" s="95"/>
      <c r="D703" s="95"/>
      <c r="E703" s="95"/>
      <c r="F703" s="95"/>
      <c r="G703" s="95"/>
      <c r="H703" s="95"/>
      <c r="I703" s="95"/>
      <c r="J703" s="95"/>
      <c r="K703" s="95"/>
      <c r="L703" s="95"/>
      <c r="M703" s="95"/>
      <c r="N703" s="95"/>
      <c r="O703" s="95"/>
      <c r="P703" s="95"/>
      <c r="Q703" s="95"/>
      <c r="R703" s="95"/>
      <c r="S703" s="95"/>
      <c r="T703" s="95"/>
      <c r="U703" s="95"/>
      <c r="V703" s="95"/>
      <c r="W703" s="95"/>
      <c r="X703" s="95"/>
      <c r="Y703" s="95"/>
      <c r="Z703" s="95"/>
    </row>
    <row r="704" ht="15.75" hidden="1" customHeight="1" spans="1:26">
      <c r="A704" s="95"/>
      <c r="B704" s="95"/>
      <c r="C704" s="95"/>
      <c r="D704" s="95"/>
      <c r="E704" s="95"/>
      <c r="F704" s="95"/>
      <c r="G704" s="95"/>
      <c r="H704" s="95"/>
      <c r="I704" s="95"/>
      <c r="J704" s="95"/>
      <c r="K704" s="95"/>
      <c r="L704" s="95"/>
      <c r="M704" s="95"/>
      <c r="N704" s="95"/>
      <c r="O704" s="95"/>
      <c r="P704" s="95"/>
      <c r="Q704" s="95"/>
      <c r="R704" s="95"/>
      <c r="S704" s="95"/>
      <c r="T704" s="95"/>
      <c r="U704" s="95"/>
      <c r="V704" s="95"/>
      <c r="W704" s="95"/>
      <c r="X704" s="95"/>
      <c r="Y704" s="95"/>
      <c r="Z704" s="95"/>
    </row>
    <row r="705" ht="15.75" hidden="1" customHeight="1" spans="1:26">
      <c r="A705" s="95"/>
      <c r="B705" s="95"/>
      <c r="C705" s="95"/>
      <c r="D705" s="95"/>
      <c r="E705" s="95"/>
      <c r="F705" s="95"/>
      <c r="G705" s="95"/>
      <c r="H705" s="95"/>
      <c r="I705" s="95"/>
      <c r="J705" s="95"/>
      <c r="K705" s="95"/>
      <c r="L705" s="95"/>
      <c r="M705" s="95"/>
      <c r="N705" s="95"/>
      <c r="O705" s="95"/>
      <c r="P705" s="95"/>
      <c r="Q705" s="95"/>
      <c r="R705" s="95"/>
      <c r="S705" s="95"/>
      <c r="T705" s="95"/>
      <c r="U705" s="95"/>
      <c r="V705" s="95"/>
      <c r="W705" s="95"/>
      <c r="X705" s="95"/>
      <c r="Y705" s="95"/>
      <c r="Z705" s="95"/>
    </row>
    <row r="706" ht="15.75" hidden="1" customHeight="1" spans="1:26">
      <c r="A706" s="95"/>
      <c r="B706" s="95"/>
      <c r="C706" s="95"/>
      <c r="D706" s="95"/>
      <c r="E706" s="95"/>
      <c r="F706" s="95"/>
      <c r="G706" s="95"/>
      <c r="H706" s="95"/>
      <c r="I706" s="95"/>
      <c r="J706" s="95"/>
      <c r="K706" s="95"/>
      <c r="L706" s="95"/>
      <c r="M706" s="95"/>
      <c r="N706" s="95"/>
      <c r="O706" s="95"/>
      <c r="P706" s="95"/>
      <c r="Q706" s="95"/>
      <c r="R706" s="95"/>
      <c r="S706" s="95"/>
      <c r="T706" s="95"/>
      <c r="U706" s="95"/>
      <c r="V706" s="95"/>
      <c r="W706" s="95"/>
      <c r="X706" s="95"/>
      <c r="Y706" s="95"/>
      <c r="Z706" s="95"/>
    </row>
    <row r="707" ht="15.75" hidden="1" customHeight="1" spans="1:26">
      <c r="A707" s="95"/>
      <c r="B707" s="95"/>
      <c r="C707" s="95"/>
      <c r="D707" s="95"/>
      <c r="E707" s="95"/>
      <c r="F707" s="95"/>
      <c r="G707" s="95"/>
      <c r="H707" s="95"/>
      <c r="I707" s="95"/>
      <c r="J707" s="95"/>
      <c r="K707" s="95"/>
      <c r="L707" s="95"/>
      <c r="M707" s="95"/>
      <c r="N707" s="95"/>
      <c r="O707" s="95"/>
      <c r="P707" s="95"/>
      <c r="Q707" s="95"/>
      <c r="R707" s="95"/>
      <c r="S707" s="95"/>
      <c r="T707" s="95"/>
      <c r="U707" s="95"/>
      <c r="V707" s="95"/>
      <c r="W707" s="95"/>
      <c r="X707" s="95"/>
      <c r="Y707" s="95"/>
      <c r="Z707" s="95"/>
    </row>
    <row r="708" ht="15.75" hidden="1" customHeight="1" spans="1:26">
      <c r="A708" s="95"/>
      <c r="B708" s="95"/>
      <c r="C708" s="95"/>
      <c r="D708" s="95"/>
      <c r="E708" s="95"/>
      <c r="F708" s="95"/>
      <c r="G708" s="95"/>
      <c r="H708" s="95"/>
      <c r="I708" s="95"/>
      <c r="J708" s="95"/>
      <c r="K708" s="95"/>
      <c r="L708" s="95"/>
      <c r="M708" s="95"/>
      <c r="N708" s="95"/>
      <c r="O708" s="95"/>
      <c r="P708" s="95"/>
      <c r="Q708" s="95"/>
      <c r="R708" s="95"/>
      <c r="S708" s="95"/>
      <c r="T708" s="95"/>
      <c r="U708" s="95"/>
      <c r="V708" s="95"/>
      <c r="W708" s="95"/>
      <c r="X708" s="95"/>
      <c r="Y708" s="95"/>
      <c r="Z708" s="95"/>
    </row>
    <row r="709" ht="15.75" hidden="1" customHeight="1" spans="1:26">
      <c r="A709" s="95"/>
      <c r="B709" s="95"/>
      <c r="C709" s="95"/>
      <c r="D709" s="95"/>
      <c r="E709" s="95"/>
      <c r="F709" s="95"/>
      <c r="G709" s="95"/>
      <c r="H709" s="95"/>
      <c r="I709" s="95"/>
      <c r="J709" s="95"/>
      <c r="K709" s="95"/>
      <c r="L709" s="95"/>
      <c r="M709" s="95"/>
      <c r="N709" s="95"/>
      <c r="O709" s="95"/>
      <c r="P709" s="95"/>
      <c r="Q709" s="95"/>
      <c r="R709" s="95"/>
      <c r="S709" s="95"/>
      <c r="T709" s="95"/>
      <c r="U709" s="95"/>
      <c r="V709" s="95"/>
      <c r="W709" s="95"/>
      <c r="X709" s="95"/>
      <c r="Y709" s="95"/>
      <c r="Z709" s="95"/>
    </row>
    <row r="710" ht="15.75" hidden="1" customHeight="1" spans="1:26">
      <c r="A710" s="95"/>
      <c r="B710" s="95"/>
      <c r="C710" s="95"/>
      <c r="D710" s="95"/>
      <c r="E710" s="95"/>
      <c r="F710" s="95"/>
      <c r="G710" s="95"/>
      <c r="H710" s="95"/>
      <c r="I710" s="95"/>
      <c r="J710" s="95"/>
      <c r="K710" s="95"/>
      <c r="L710" s="95"/>
      <c r="M710" s="95"/>
      <c r="N710" s="95"/>
      <c r="O710" s="95"/>
      <c r="P710" s="95"/>
      <c r="Q710" s="95"/>
      <c r="R710" s="95"/>
      <c r="S710" s="95"/>
      <c r="T710" s="95"/>
      <c r="U710" s="95"/>
      <c r="V710" s="95"/>
      <c r="W710" s="95"/>
      <c r="X710" s="95"/>
      <c r="Y710" s="95"/>
      <c r="Z710" s="95"/>
    </row>
    <row r="711" ht="15.75" hidden="1" customHeight="1" spans="1:26">
      <c r="A711" s="95"/>
      <c r="B711" s="95"/>
      <c r="C711" s="95"/>
      <c r="D711" s="95"/>
      <c r="E711" s="95"/>
      <c r="F711" s="95"/>
      <c r="G711" s="95"/>
      <c r="H711" s="95"/>
      <c r="I711" s="95"/>
      <c r="J711" s="95"/>
      <c r="K711" s="95"/>
      <c r="L711" s="95"/>
      <c r="M711" s="95"/>
      <c r="N711" s="95"/>
      <c r="O711" s="95"/>
      <c r="P711" s="95"/>
      <c r="Q711" s="95"/>
      <c r="R711" s="95"/>
      <c r="S711" s="95"/>
      <c r="T711" s="95"/>
      <c r="U711" s="95"/>
      <c r="V711" s="95"/>
      <c r="W711" s="95"/>
      <c r="X711" s="95"/>
      <c r="Y711" s="95"/>
      <c r="Z711" s="95"/>
    </row>
    <row r="712" ht="15.75" hidden="1" customHeight="1" spans="1:26">
      <c r="A712" s="95"/>
      <c r="B712" s="95"/>
      <c r="C712" s="95"/>
      <c r="D712" s="95"/>
      <c r="E712" s="95"/>
      <c r="F712" s="95"/>
      <c r="G712" s="95"/>
      <c r="H712" s="95"/>
      <c r="I712" s="95"/>
      <c r="J712" s="95"/>
      <c r="K712" s="95"/>
      <c r="L712" s="95"/>
      <c r="M712" s="95"/>
      <c r="N712" s="95"/>
      <c r="O712" s="95"/>
      <c r="P712" s="95"/>
      <c r="Q712" s="95"/>
      <c r="R712" s="95"/>
      <c r="S712" s="95"/>
      <c r="T712" s="95"/>
      <c r="U712" s="95"/>
      <c r="V712" s="95"/>
      <c r="W712" s="95"/>
      <c r="X712" s="95"/>
      <c r="Y712" s="95"/>
      <c r="Z712" s="95"/>
    </row>
    <row r="713" ht="15.75" hidden="1" customHeight="1" spans="1:26">
      <c r="A713" s="95"/>
      <c r="B713" s="95"/>
      <c r="C713" s="95"/>
      <c r="D713" s="95"/>
      <c r="E713" s="95"/>
      <c r="F713" s="95"/>
      <c r="G713" s="95"/>
      <c r="H713" s="95"/>
      <c r="I713" s="95"/>
      <c r="J713" s="95"/>
      <c r="K713" s="95"/>
      <c r="L713" s="95"/>
      <c r="M713" s="95"/>
      <c r="N713" s="95"/>
      <c r="O713" s="95"/>
      <c r="P713" s="95"/>
      <c r="Q713" s="95"/>
      <c r="R713" s="95"/>
      <c r="S713" s="95"/>
      <c r="T713" s="95"/>
      <c r="U713" s="95"/>
      <c r="V713" s="95"/>
      <c r="W713" s="95"/>
      <c r="X713" s="95"/>
      <c r="Y713" s="95"/>
      <c r="Z713" s="95"/>
    </row>
    <row r="714" ht="15.75" hidden="1" customHeight="1" spans="1:26">
      <c r="A714" s="95"/>
      <c r="B714" s="95"/>
      <c r="C714" s="95"/>
      <c r="D714" s="95"/>
      <c r="E714" s="95"/>
      <c r="F714" s="95"/>
      <c r="G714" s="95"/>
      <c r="H714" s="95"/>
      <c r="I714" s="95"/>
      <c r="J714" s="95"/>
      <c r="K714" s="95"/>
      <c r="L714" s="95"/>
      <c r="M714" s="95"/>
      <c r="N714" s="95"/>
      <c r="O714" s="95"/>
      <c r="P714" s="95"/>
      <c r="Q714" s="95"/>
      <c r="R714" s="95"/>
      <c r="S714" s="95"/>
      <c r="T714" s="95"/>
      <c r="U714" s="95"/>
      <c r="V714" s="95"/>
      <c r="W714" s="95"/>
      <c r="X714" s="95"/>
      <c r="Y714" s="95"/>
      <c r="Z714" s="95"/>
    </row>
    <row r="715" ht="15.75" hidden="1" customHeight="1" spans="1:26">
      <c r="A715" s="95"/>
      <c r="B715" s="95"/>
      <c r="C715" s="95"/>
      <c r="D715" s="95"/>
      <c r="E715" s="95"/>
      <c r="F715" s="95"/>
      <c r="G715" s="95"/>
      <c r="H715" s="95"/>
      <c r="I715" s="95"/>
      <c r="J715" s="95"/>
      <c r="K715" s="95"/>
      <c r="L715" s="95"/>
      <c r="M715" s="95"/>
      <c r="N715" s="95"/>
      <c r="O715" s="95"/>
      <c r="P715" s="95"/>
      <c r="Q715" s="95"/>
      <c r="R715" s="95"/>
      <c r="S715" s="95"/>
      <c r="T715" s="95"/>
      <c r="U715" s="95"/>
      <c r="V715" s="95"/>
      <c r="W715" s="95"/>
      <c r="X715" s="95"/>
      <c r="Y715" s="95"/>
      <c r="Z715" s="95"/>
    </row>
    <row r="716" ht="15.75" hidden="1" customHeight="1" spans="1:26">
      <c r="A716" s="95"/>
      <c r="B716" s="95"/>
      <c r="C716" s="95"/>
      <c r="D716" s="95"/>
      <c r="E716" s="95"/>
      <c r="F716" s="95"/>
      <c r="G716" s="95"/>
      <c r="H716" s="95"/>
      <c r="I716" s="95"/>
      <c r="J716" s="95"/>
      <c r="K716" s="95"/>
      <c r="L716" s="95"/>
      <c r="M716" s="95"/>
      <c r="N716" s="95"/>
      <c r="O716" s="95"/>
      <c r="P716" s="95"/>
      <c r="Q716" s="95"/>
      <c r="R716" s="95"/>
      <c r="S716" s="95"/>
      <c r="T716" s="95"/>
      <c r="U716" s="95"/>
      <c r="V716" s="95"/>
      <c r="W716" s="95"/>
      <c r="X716" s="95"/>
      <c r="Y716" s="95"/>
      <c r="Z716" s="95"/>
    </row>
    <row r="717" ht="15.75" hidden="1" customHeight="1" spans="1:26">
      <c r="A717" s="95"/>
      <c r="B717" s="95"/>
      <c r="C717" s="95"/>
      <c r="D717" s="95"/>
      <c r="E717" s="95"/>
      <c r="F717" s="95"/>
      <c r="G717" s="95"/>
      <c r="H717" s="95"/>
      <c r="I717" s="95"/>
      <c r="J717" s="95"/>
      <c r="K717" s="95"/>
      <c r="L717" s="95"/>
      <c r="M717" s="95"/>
      <c r="N717" s="95"/>
      <c r="O717" s="95"/>
      <c r="P717" s="95"/>
      <c r="Q717" s="95"/>
      <c r="R717" s="95"/>
      <c r="S717" s="95"/>
      <c r="T717" s="95"/>
      <c r="U717" s="95"/>
      <c r="V717" s="95"/>
      <c r="W717" s="95"/>
      <c r="X717" s="95"/>
      <c r="Y717" s="95"/>
      <c r="Z717" s="95"/>
    </row>
    <row r="718" ht="15.75" hidden="1" customHeight="1" spans="1:26">
      <c r="A718" s="95"/>
      <c r="B718" s="95"/>
      <c r="C718" s="95"/>
      <c r="D718" s="95"/>
      <c r="E718" s="95"/>
      <c r="F718" s="95"/>
      <c r="G718" s="95"/>
      <c r="H718" s="95"/>
      <c r="I718" s="95"/>
      <c r="J718" s="95"/>
      <c r="K718" s="95"/>
      <c r="L718" s="95"/>
      <c r="M718" s="95"/>
      <c r="N718" s="95"/>
      <c r="O718" s="95"/>
      <c r="P718" s="95"/>
      <c r="Q718" s="95"/>
      <c r="R718" s="95"/>
      <c r="S718" s="95"/>
      <c r="T718" s="95"/>
      <c r="U718" s="95"/>
      <c r="V718" s="95"/>
      <c r="W718" s="95"/>
      <c r="X718" s="95"/>
      <c r="Y718" s="95"/>
      <c r="Z718" s="95"/>
    </row>
    <row r="719" ht="15.75" hidden="1" customHeight="1" spans="1:26">
      <c r="A719" s="95"/>
      <c r="B719" s="95"/>
      <c r="C719" s="95"/>
      <c r="D719" s="95"/>
      <c r="E719" s="95"/>
      <c r="F719" s="95"/>
      <c r="G719" s="95"/>
      <c r="H719" s="95"/>
      <c r="I719" s="95"/>
      <c r="J719" s="95"/>
      <c r="K719" s="95"/>
      <c r="L719" s="95"/>
      <c r="M719" s="95"/>
      <c r="N719" s="95"/>
      <c r="O719" s="95"/>
      <c r="P719" s="95"/>
      <c r="Q719" s="95"/>
      <c r="R719" s="95"/>
      <c r="S719" s="95"/>
      <c r="T719" s="95"/>
      <c r="U719" s="95"/>
      <c r="V719" s="95"/>
      <c r="W719" s="95"/>
      <c r="X719" s="95"/>
      <c r="Y719" s="95"/>
      <c r="Z719" s="95"/>
    </row>
    <row r="720" ht="15.75" hidden="1" customHeight="1" spans="1:26">
      <c r="A720" s="95"/>
      <c r="B720" s="95"/>
      <c r="C720" s="95"/>
      <c r="D720" s="95"/>
      <c r="E720" s="95"/>
      <c r="F720" s="95"/>
      <c r="G720" s="95"/>
      <c r="H720" s="95"/>
      <c r="I720" s="95"/>
      <c r="J720" s="95"/>
      <c r="K720" s="95"/>
      <c r="L720" s="95"/>
      <c r="M720" s="95"/>
      <c r="N720" s="95"/>
      <c r="O720" s="95"/>
      <c r="P720" s="95"/>
      <c r="Q720" s="95"/>
      <c r="R720" s="95"/>
      <c r="S720" s="95"/>
      <c r="T720" s="95"/>
      <c r="U720" s="95"/>
      <c r="V720" s="95"/>
      <c r="W720" s="95"/>
      <c r="X720" s="95"/>
      <c r="Y720" s="95"/>
      <c r="Z720" s="95"/>
    </row>
    <row r="721" ht="15.75" hidden="1" customHeight="1" spans="1:26">
      <c r="A721" s="95"/>
      <c r="B721" s="95"/>
      <c r="C721" s="95"/>
      <c r="D721" s="95"/>
      <c r="E721" s="95"/>
      <c r="F721" s="95"/>
      <c r="G721" s="95"/>
      <c r="H721" s="95"/>
      <c r="I721" s="95"/>
      <c r="J721" s="95"/>
      <c r="K721" s="95"/>
      <c r="L721" s="95"/>
      <c r="M721" s="95"/>
      <c r="N721" s="95"/>
      <c r="O721" s="95"/>
      <c r="P721" s="95"/>
      <c r="Q721" s="95"/>
      <c r="R721" s="95"/>
      <c r="S721" s="95"/>
      <c r="T721" s="95"/>
      <c r="U721" s="95"/>
      <c r="V721" s="95"/>
      <c r="W721" s="95"/>
      <c r="X721" s="95"/>
      <c r="Y721" s="95"/>
      <c r="Z721" s="95"/>
    </row>
    <row r="722" ht="15.75" hidden="1" customHeight="1" spans="1:26">
      <c r="A722" s="95"/>
      <c r="B722" s="95"/>
      <c r="C722" s="95"/>
      <c r="D722" s="95"/>
      <c r="E722" s="95"/>
      <c r="F722" s="95"/>
      <c r="G722" s="95"/>
      <c r="H722" s="95"/>
      <c r="I722" s="95"/>
      <c r="J722" s="95"/>
      <c r="K722" s="95"/>
      <c r="L722" s="95"/>
      <c r="M722" s="95"/>
      <c r="N722" s="95"/>
      <c r="O722" s="95"/>
      <c r="P722" s="95"/>
      <c r="Q722" s="95"/>
      <c r="R722" s="95"/>
      <c r="S722" s="95"/>
      <c r="T722" s="95"/>
      <c r="U722" s="95"/>
      <c r="V722" s="95"/>
      <c r="W722" s="95"/>
      <c r="X722" s="95"/>
      <c r="Y722" s="95"/>
      <c r="Z722" s="95"/>
    </row>
    <row r="723" ht="15.75" hidden="1" customHeight="1" spans="1:26">
      <c r="A723" s="95"/>
      <c r="B723" s="95"/>
      <c r="C723" s="95"/>
      <c r="D723" s="95"/>
      <c r="E723" s="95"/>
      <c r="F723" s="95"/>
      <c r="G723" s="95"/>
      <c r="H723" s="95"/>
      <c r="I723" s="95"/>
      <c r="J723" s="95"/>
      <c r="K723" s="95"/>
      <c r="L723" s="95"/>
      <c r="M723" s="95"/>
      <c r="N723" s="95"/>
      <c r="O723" s="95"/>
      <c r="P723" s="95"/>
      <c r="Q723" s="95"/>
      <c r="R723" s="95"/>
      <c r="S723" s="95"/>
      <c r="T723" s="95"/>
      <c r="U723" s="95"/>
      <c r="V723" s="95"/>
      <c r="W723" s="95"/>
      <c r="X723" s="95"/>
      <c r="Y723" s="95"/>
      <c r="Z723" s="95"/>
    </row>
    <row r="724" ht="15.75" hidden="1" customHeight="1" spans="1:26">
      <c r="A724" s="95"/>
      <c r="B724" s="95"/>
      <c r="C724" s="95"/>
      <c r="D724" s="95"/>
      <c r="E724" s="95"/>
      <c r="F724" s="95"/>
      <c r="G724" s="95"/>
      <c r="H724" s="95"/>
      <c r="I724" s="95"/>
      <c r="J724" s="95"/>
      <c r="K724" s="95"/>
      <c r="L724" s="95"/>
      <c r="M724" s="95"/>
      <c r="N724" s="95"/>
      <c r="O724" s="95"/>
      <c r="P724" s="95"/>
      <c r="Q724" s="95"/>
      <c r="R724" s="95"/>
      <c r="S724" s="95"/>
      <c r="T724" s="95"/>
      <c r="U724" s="95"/>
      <c r="V724" s="95"/>
      <c r="W724" s="95"/>
      <c r="X724" s="95"/>
      <c r="Y724" s="95"/>
      <c r="Z724" s="95"/>
    </row>
    <row r="725" ht="15.75" hidden="1" customHeight="1" spans="1:26">
      <c r="A725" s="95"/>
      <c r="B725" s="95"/>
      <c r="C725" s="95"/>
      <c r="D725" s="95"/>
      <c r="E725" s="95"/>
      <c r="F725" s="95"/>
      <c r="G725" s="95"/>
      <c r="H725" s="95"/>
      <c r="I725" s="95"/>
      <c r="J725" s="95"/>
      <c r="K725" s="95"/>
      <c r="L725" s="95"/>
      <c r="M725" s="95"/>
      <c r="N725" s="95"/>
      <c r="O725" s="95"/>
      <c r="P725" s="95"/>
      <c r="Q725" s="95"/>
      <c r="R725" s="95"/>
      <c r="S725" s="95"/>
      <c r="T725" s="95"/>
      <c r="U725" s="95"/>
      <c r="V725" s="95"/>
      <c r="W725" s="95"/>
      <c r="X725" s="95"/>
      <c r="Y725" s="95"/>
      <c r="Z725" s="95"/>
    </row>
    <row r="726" ht="15.75" hidden="1" customHeight="1" spans="1:26">
      <c r="A726" s="95"/>
      <c r="B726" s="95"/>
      <c r="C726" s="95"/>
      <c r="D726" s="95"/>
      <c r="E726" s="95"/>
      <c r="F726" s="95"/>
      <c r="G726" s="95"/>
      <c r="H726" s="95"/>
      <c r="I726" s="95"/>
      <c r="J726" s="95"/>
      <c r="K726" s="95"/>
      <c r="L726" s="95"/>
      <c r="M726" s="95"/>
      <c r="N726" s="95"/>
      <c r="O726" s="95"/>
      <c r="P726" s="95"/>
      <c r="Q726" s="95"/>
      <c r="R726" s="95"/>
      <c r="S726" s="95"/>
      <c r="T726" s="95"/>
      <c r="U726" s="95"/>
      <c r="V726" s="95"/>
      <c r="W726" s="95"/>
      <c r="X726" s="95"/>
      <c r="Y726" s="95"/>
      <c r="Z726" s="95"/>
    </row>
    <row r="727" ht="15.75" hidden="1" customHeight="1" spans="1:26">
      <c r="A727" s="95"/>
      <c r="B727" s="95"/>
      <c r="C727" s="95"/>
      <c r="D727" s="95"/>
      <c r="E727" s="95"/>
      <c r="F727" s="95"/>
      <c r="G727" s="95"/>
      <c r="H727" s="95"/>
      <c r="I727" s="95"/>
      <c r="J727" s="95"/>
      <c r="K727" s="95"/>
      <c r="L727" s="95"/>
      <c r="M727" s="95"/>
      <c r="N727" s="95"/>
      <c r="O727" s="95"/>
      <c r="P727" s="95"/>
      <c r="Q727" s="95"/>
      <c r="R727" s="95"/>
      <c r="S727" s="95"/>
      <c r="T727" s="95"/>
      <c r="U727" s="95"/>
      <c r="V727" s="95"/>
      <c r="W727" s="95"/>
      <c r="X727" s="95"/>
      <c r="Y727" s="95"/>
      <c r="Z727" s="95"/>
    </row>
    <row r="728" ht="15.75" hidden="1" customHeight="1" spans="1:26">
      <c r="A728" s="95"/>
      <c r="B728" s="95"/>
      <c r="C728" s="95"/>
      <c r="D728" s="95"/>
      <c r="E728" s="95"/>
      <c r="F728" s="95"/>
      <c r="G728" s="95"/>
      <c r="H728" s="95"/>
      <c r="I728" s="95"/>
      <c r="J728" s="95"/>
      <c r="K728" s="95"/>
      <c r="L728" s="95"/>
      <c r="M728" s="95"/>
      <c r="N728" s="95"/>
      <c r="O728" s="95"/>
      <c r="P728" s="95"/>
      <c r="Q728" s="95"/>
      <c r="R728" s="95"/>
      <c r="S728" s="95"/>
      <c r="T728" s="95"/>
      <c r="U728" s="95"/>
      <c r="V728" s="95"/>
      <c r="W728" s="95"/>
      <c r="X728" s="95"/>
      <c r="Y728" s="95"/>
      <c r="Z728" s="95"/>
    </row>
    <row r="729" ht="15.75" hidden="1" customHeight="1" spans="1:26">
      <c r="A729" s="95"/>
      <c r="B729" s="95"/>
      <c r="C729" s="95"/>
      <c r="D729" s="95"/>
      <c r="E729" s="95"/>
      <c r="F729" s="95"/>
      <c r="G729" s="95"/>
      <c r="H729" s="95"/>
      <c r="I729" s="95"/>
      <c r="J729" s="95"/>
      <c r="K729" s="95"/>
      <c r="L729" s="95"/>
      <c r="M729" s="95"/>
      <c r="N729" s="95"/>
      <c r="O729" s="95"/>
      <c r="P729" s="95"/>
      <c r="Q729" s="95"/>
      <c r="R729" s="95"/>
      <c r="S729" s="95"/>
      <c r="T729" s="95"/>
      <c r="U729" s="95"/>
      <c r="V729" s="95"/>
      <c r="W729" s="95"/>
      <c r="X729" s="95"/>
      <c r="Y729" s="95"/>
      <c r="Z729" s="95"/>
    </row>
    <row r="730" ht="15.75" hidden="1" customHeight="1" spans="1:26">
      <c r="A730" s="95"/>
      <c r="B730" s="95"/>
      <c r="C730" s="95"/>
      <c r="D730" s="95"/>
      <c r="E730" s="95"/>
      <c r="F730" s="95"/>
      <c r="G730" s="95"/>
      <c r="H730" s="95"/>
      <c r="I730" s="95"/>
      <c r="J730" s="95"/>
      <c r="K730" s="95"/>
      <c r="L730" s="95"/>
      <c r="M730" s="95"/>
      <c r="N730" s="95"/>
      <c r="O730" s="95"/>
      <c r="P730" s="95"/>
      <c r="Q730" s="95"/>
      <c r="R730" s="95"/>
      <c r="S730" s="95"/>
      <c r="T730" s="95"/>
      <c r="U730" s="95"/>
      <c r="V730" s="95"/>
      <c r="W730" s="95"/>
      <c r="X730" s="95"/>
      <c r="Y730" s="95"/>
      <c r="Z730" s="95"/>
    </row>
    <row r="731" ht="15.75" hidden="1" customHeight="1" spans="1:26">
      <c r="A731" s="95"/>
      <c r="B731" s="95"/>
      <c r="C731" s="95"/>
      <c r="D731" s="95"/>
      <c r="E731" s="95"/>
      <c r="F731" s="95"/>
      <c r="G731" s="95"/>
      <c r="H731" s="95"/>
      <c r="I731" s="95"/>
      <c r="J731" s="95"/>
      <c r="K731" s="95"/>
      <c r="L731" s="95"/>
      <c r="M731" s="95"/>
      <c r="N731" s="95"/>
      <c r="O731" s="95"/>
      <c r="P731" s="95"/>
      <c r="Q731" s="95"/>
      <c r="R731" s="95"/>
      <c r="S731" s="95"/>
      <c r="T731" s="95"/>
      <c r="U731" s="95"/>
      <c r="V731" s="95"/>
      <c r="W731" s="95"/>
      <c r="X731" s="95"/>
      <c r="Y731" s="95"/>
      <c r="Z731" s="95"/>
    </row>
    <row r="732" ht="15.75" hidden="1" customHeight="1" spans="1:26">
      <c r="A732" s="95"/>
      <c r="B732" s="95"/>
      <c r="C732" s="95"/>
      <c r="D732" s="95"/>
      <c r="E732" s="95"/>
      <c r="F732" s="95"/>
      <c r="G732" s="95"/>
      <c r="H732" s="95"/>
      <c r="I732" s="95"/>
      <c r="J732" s="95"/>
      <c r="K732" s="95"/>
      <c r="L732" s="95"/>
      <c r="M732" s="95"/>
      <c r="N732" s="95"/>
      <c r="O732" s="95"/>
      <c r="P732" s="95"/>
      <c r="Q732" s="95"/>
      <c r="R732" s="95"/>
      <c r="S732" s="95"/>
      <c r="T732" s="95"/>
      <c r="U732" s="95"/>
      <c r="V732" s="95"/>
      <c r="W732" s="95"/>
      <c r="X732" s="95"/>
      <c r="Y732" s="95"/>
      <c r="Z732" s="95"/>
    </row>
    <row r="733" ht="15.75" hidden="1" customHeight="1" spans="1:26">
      <c r="A733" s="95"/>
      <c r="B733" s="95"/>
      <c r="C733" s="95"/>
      <c r="D733" s="95"/>
      <c r="E733" s="95"/>
      <c r="F733" s="95"/>
      <c r="G733" s="95"/>
      <c r="H733" s="95"/>
      <c r="I733" s="95"/>
      <c r="J733" s="95"/>
      <c r="K733" s="95"/>
      <c r="L733" s="95"/>
      <c r="M733" s="95"/>
      <c r="N733" s="95"/>
      <c r="O733" s="95"/>
      <c r="P733" s="95"/>
      <c r="Q733" s="95"/>
      <c r="R733" s="95"/>
      <c r="S733" s="95"/>
      <c r="T733" s="95"/>
      <c r="U733" s="95"/>
      <c r="V733" s="95"/>
      <c r="W733" s="95"/>
      <c r="X733" s="95"/>
      <c r="Y733" s="95"/>
      <c r="Z733" s="95"/>
    </row>
    <row r="734" ht="15.75" hidden="1" customHeight="1" spans="1:26">
      <c r="A734" s="95"/>
      <c r="B734" s="95"/>
      <c r="C734" s="95"/>
      <c r="D734" s="95"/>
      <c r="E734" s="95"/>
      <c r="F734" s="95"/>
      <c r="G734" s="95"/>
      <c r="H734" s="95"/>
      <c r="I734" s="95"/>
      <c r="J734" s="95"/>
      <c r="K734" s="95"/>
      <c r="L734" s="95"/>
      <c r="M734" s="95"/>
      <c r="N734" s="95"/>
      <c r="O734" s="95"/>
      <c r="P734" s="95"/>
      <c r="Q734" s="95"/>
      <c r="R734" s="95"/>
      <c r="S734" s="95"/>
      <c r="T734" s="95"/>
      <c r="U734" s="95"/>
      <c r="V734" s="95"/>
      <c r="W734" s="95"/>
      <c r="X734" s="95"/>
      <c r="Y734" s="95"/>
      <c r="Z734" s="95"/>
    </row>
    <row r="735" ht="15.75" hidden="1" customHeight="1" spans="1:26">
      <c r="A735" s="95"/>
      <c r="B735" s="95"/>
      <c r="C735" s="95"/>
      <c r="D735" s="95"/>
      <c r="E735" s="95"/>
      <c r="F735" s="95"/>
      <c r="G735" s="95"/>
      <c r="H735" s="95"/>
      <c r="I735" s="95"/>
      <c r="J735" s="95"/>
      <c r="K735" s="95"/>
      <c r="L735" s="95"/>
      <c r="M735" s="95"/>
      <c r="N735" s="95"/>
      <c r="O735" s="95"/>
      <c r="P735" s="95"/>
      <c r="Q735" s="95"/>
      <c r="R735" s="95"/>
      <c r="S735" s="95"/>
      <c r="T735" s="95"/>
      <c r="U735" s="95"/>
      <c r="V735" s="95"/>
      <c r="W735" s="95"/>
      <c r="X735" s="95"/>
      <c r="Y735" s="95"/>
      <c r="Z735" s="95"/>
    </row>
    <row r="736" ht="15.75" hidden="1" customHeight="1" spans="1:26">
      <c r="A736" s="95"/>
      <c r="B736" s="95"/>
      <c r="C736" s="95"/>
      <c r="D736" s="95"/>
      <c r="E736" s="95"/>
      <c r="F736" s="95"/>
      <c r="G736" s="95"/>
      <c r="H736" s="95"/>
      <c r="I736" s="95"/>
      <c r="J736" s="95"/>
      <c r="K736" s="95"/>
      <c r="L736" s="95"/>
      <c r="M736" s="95"/>
      <c r="N736" s="95"/>
      <c r="O736" s="95"/>
      <c r="P736" s="95"/>
      <c r="Q736" s="95"/>
      <c r="R736" s="95"/>
      <c r="S736" s="95"/>
      <c r="T736" s="95"/>
      <c r="U736" s="95"/>
      <c r="V736" s="95"/>
      <c r="W736" s="95"/>
      <c r="X736" s="95"/>
      <c r="Y736" s="95"/>
      <c r="Z736" s="95"/>
    </row>
    <row r="737" ht="15.75" hidden="1" customHeight="1" spans="1:26">
      <c r="A737" s="95"/>
      <c r="B737" s="95"/>
      <c r="C737" s="95"/>
      <c r="D737" s="95"/>
      <c r="E737" s="95"/>
      <c r="F737" s="95"/>
      <c r="G737" s="95"/>
      <c r="H737" s="95"/>
      <c r="I737" s="95"/>
      <c r="J737" s="95"/>
      <c r="K737" s="95"/>
      <c r="L737" s="95"/>
      <c r="M737" s="95"/>
      <c r="N737" s="95"/>
      <c r="O737" s="95"/>
      <c r="P737" s="95"/>
      <c r="Q737" s="95"/>
      <c r="R737" s="95"/>
      <c r="S737" s="95"/>
      <c r="T737" s="95"/>
      <c r="U737" s="95"/>
      <c r="V737" s="95"/>
      <c r="W737" s="95"/>
      <c r="X737" s="95"/>
      <c r="Y737" s="95"/>
      <c r="Z737" s="95"/>
    </row>
    <row r="738" ht="15.75" hidden="1" customHeight="1" spans="1:26">
      <c r="A738" s="95"/>
      <c r="B738" s="95"/>
      <c r="C738" s="95"/>
      <c r="D738" s="95"/>
      <c r="E738" s="95"/>
      <c r="F738" s="95"/>
      <c r="G738" s="95"/>
      <c r="H738" s="95"/>
      <c r="I738" s="95"/>
      <c r="J738" s="95"/>
      <c r="K738" s="95"/>
      <c r="L738" s="95"/>
      <c r="M738" s="95"/>
      <c r="N738" s="95"/>
      <c r="O738" s="95"/>
      <c r="P738" s="95"/>
      <c r="Q738" s="95"/>
      <c r="R738" s="95"/>
      <c r="S738" s="95"/>
      <c r="T738" s="95"/>
      <c r="U738" s="95"/>
      <c r="V738" s="95"/>
      <c r="W738" s="95"/>
      <c r="X738" s="95"/>
      <c r="Y738" s="95"/>
      <c r="Z738" s="95"/>
    </row>
    <row r="739" ht="15.75" hidden="1" customHeight="1" spans="1:26">
      <c r="A739" s="95"/>
      <c r="B739" s="95"/>
      <c r="C739" s="95"/>
      <c r="D739" s="95"/>
      <c r="E739" s="95"/>
      <c r="F739" s="95"/>
      <c r="G739" s="95"/>
      <c r="H739" s="95"/>
      <c r="I739" s="95"/>
      <c r="J739" s="95"/>
      <c r="K739" s="95"/>
      <c r="L739" s="95"/>
      <c r="M739" s="95"/>
      <c r="N739" s="95"/>
      <c r="O739" s="95"/>
      <c r="P739" s="95"/>
      <c r="Q739" s="95"/>
      <c r="R739" s="95"/>
      <c r="S739" s="95"/>
      <c r="T739" s="95"/>
      <c r="U739" s="95"/>
      <c r="V739" s="95"/>
      <c r="W739" s="95"/>
      <c r="X739" s="95"/>
      <c r="Y739" s="95"/>
      <c r="Z739" s="95"/>
    </row>
    <row r="740" ht="15.75" hidden="1" customHeight="1" spans="1:26">
      <c r="A740" s="95"/>
      <c r="B740" s="95"/>
      <c r="C740" s="95"/>
      <c r="D740" s="95"/>
      <c r="E740" s="95"/>
      <c r="F740" s="95"/>
      <c r="G740" s="95"/>
      <c r="H740" s="95"/>
      <c r="I740" s="95"/>
      <c r="J740" s="95"/>
      <c r="K740" s="95"/>
      <c r="L740" s="95"/>
      <c r="M740" s="95"/>
      <c r="N740" s="95"/>
      <c r="O740" s="95"/>
      <c r="P740" s="95"/>
      <c r="Q740" s="95"/>
      <c r="R740" s="95"/>
      <c r="S740" s="95"/>
      <c r="T740" s="95"/>
      <c r="U740" s="95"/>
      <c r="V740" s="95"/>
      <c r="W740" s="95"/>
      <c r="X740" s="95"/>
      <c r="Y740" s="95"/>
      <c r="Z740" s="95"/>
    </row>
    <row r="741" ht="15.75" hidden="1" customHeight="1" spans="1:26">
      <c r="A741" s="95"/>
      <c r="B741" s="95"/>
      <c r="C741" s="95"/>
      <c r="D741" s="95"/>
      <c r="E741" s="95"/>
      <c r="F741" s="95"/>
      <c r="G741" s="95"/>
      <c r="H741" s="95"/>
      <c r="I741" s="95"/>
      <c r="J741" s="95"/>
      <c r="K741" s="95"/>
      <c r="L741" s="95"/>
      <c r="M741" s="95"/>
      <c r="N741" s="95"/>
      <c r="O741" s="95"/>
      <c r="P741" s="95"/>
      <c r="Q741" s="95"/>
      <c r="R741" s="95"/>
      <c r="S741" s="95"/>
      <c r="T741" s="95"/>
      <c r="U741" s="95"/>
      <c r="V741" s="95"/>
      <c r="W741" s="95"/>
      <c r="X741" s="95"/>
      <c r="Y741" s="95"/>
      <c r="Z741" s="95"/>
    </row>
    <row r="742" ht="15.75" hidden="1" customHeight="1" spans="1:26">
      <c r="A742" s="95"/>
      <c r="B742" s="95"/>
      <c r="C742" s="95"/>
      <c r="D742" s="95"/>
      <c r="E742" s="95"/>
      <c r="F742" s="95"/>
      <c r="G742" s="95"/>
      <c r="H742" s="95"/>
      <c r="I742" s="95"/>
      <c r="J742" s="95"/>
      <c r="K742" s="95"/>
      <c r="L742" s="95"/>
      <c r="M742" s="95"/>
      <c r="N742" s="95"/>
      <c r="O742" s="95"/>
      <c r="P742" s="95"/>
      <c r="Q742" s="95"/>
      <c r="R742" s="95"/>
      <c r="S742" s="95"/>
      <c r="T742" s="95"/>
      <c r="U742" s="95"/>
      <c r="V742" s="95"/>
      <c r="W742" s="95"/>
      <c r="X742" s="95"/>
      <c r="Y742" s="95"/>
      <c r="Z742" s="95"/>
    </row>
    <row r="743" ht="15.75" hidden="1" customHeight="1" spans="1:26">
      <c r="A743" s="95"/>
      <c r="B743" s="95"/>
      <c r="C743" s="95"/>
      <c r="D743" s="95"/>
      <c r="E743" s="95"/>
      <c r="F743" s="95"/>
      <c r="G743" s="95"/>
      <c r="H743" s="95"/>
      <c r="I743" s="95"/>
      <c r="J743" s="95"/>
      <c r="K743" s="95"/>
      <c r="L743" s="95"/>
      <c r="M743" s="95"/>
      <c r="N743" s="95"/>
      <c r="O743" s="95"/>
      <c r="P743" s="95"/>
      <c r="Q743" s="95"/>
      <c r="R743" s="95"/>
      <c r="S743" s="95"/>
      <c r="T743" s="95"/>
      <c r="U743" s="95"/>
      <c r="V743" s="95"/>
      <c r="W743" s="95"/>
      <c r="X743" s="95"/>
      <c r="Y743" s="95"/>
      <c r="Z743" s="95"/>
    </row>
    <row r="744" ht="15.75" hidden="1" customHeight="1" spans="1:26">
      <c r="A744" s="95"/>
      <c r="B744" s="95"/>
      <c r="C744" s="95"/>
      <c r="D744" s="95"/>
      <c r="E744" s="95"/>
      <c r="F744" s="95"/>
      <c r="G744" s="95"/>
      <c r="H744" s="95"/>
      <c r="I744" s="95"/>
      <c r="J744" s="95"/>
      <c r="K744" s="95"/>
      <c r="L744" s="95"/>
      <c r="M744" s="95"/>
      <c r="N744" s="95"/>
      <c r="O744" s="95"/>
      <c r="P744" s="95"/>
      <c r="Q744" s="95"/>
      <c r="R744" s="95"/>
      <c r="S744" s="95"/>
      <c r="T744" s="95"/>
      <c r="U744" s="95"/>
      <c r="V744" s="95"/>
      <c r="W744" s="95"/>
      <c r="X744" s="95"/>
      <c r="Y744" s="95"/>
      <c r="Z744" s="95"/>
    </row>
    <row r="745" ht="15.75" hidden="1" customHeight="1" spans="1:26">
      <c r="A745" s="95"/>
      <c r="B745" s="95"/>
      <c r="C745" s="95"/>
      <c r="D745" s="95"/>
      <c r="E745" s="95"/>
      <c r="F745" s="95"/>
      <c r="G745" s="95"/>
      <c r="H745" s="95"/>
      <c r="I745" s="95"/>
      <c r="J745" s="95"/>
      <c r="K745" s="95"/>
      <c r="L745" s="95"/>
      <c r="M745" s="95"/>
      <c r="N745" s="95"/>
      <c r="O745" s="95"/>
      <c r="P745" s="95"/>
      <c r="Q745" s="95"/>
      <c r="R745" s="95"/>
      <c r="S745" s="95"/>
      <c r="T745" s="95"/>
      <c r="U745" s="95"/>
      <c r="V745" s="95"/>
      <c r="W745" s="95"/>
      <c r="X745" s="95"/>
      <c r="Y745" s="95"/>
      <c r="Z745" s="95"/>
    </row>
    <row r="746" ht="15.75" hidden="1" customHeight="1" spans="1:26">
      <c r="A746" s="95"/>
      <c r="B746" s="95"/>
      <c r="C746" s="95"/>
      <c r="D746" s="95"/>
      <c r="E746" s="95"/>
      <c r="F746" s="95"/>
      <c r="G746" s="95"/>
      <c r="H746" s="95"/>
      <c r="I746" s="95"/>
      <c r="J746" s="95"/>
      <c r="K746" s="95"/>
      <c r="L746" s="95"/>
      <c r="M746" s="95"/>
      <c r="N746" s="95"/>
      <c r="O746" s="95"/>
      <c r="P746" s="95"/>
      <c r="Q746" s="95"/>
      <c r="R746" s="95"/>
      <c r="S746" s="95"/>
      <c r="T746" s="95"/>
      <c r="U746" s="95"/>
      <c r="V746" s="95"/>
      <c r="W746" s="95"/>
      <c r="X746" s="95"/>
      <c r="Y746" s="95"/>
      <c r="Z746" s="95"/>
    </row>
    <row r="747" ht="15.75" hidden="1" customHeight="1" spans="1:26">
      <c r="A747" s="95"/>
      <c r="B747" s="95"/>
      <c r="C747" s="95"/>
      <c r="D747" s="95"/>
      <c r="E747" s="95"/>
      <c r="F747" s="95"/>
      <c r="G747" s="95"/>
      <c r="H747" s="95"/>
      <c r="I747" s="95"/>
      <c r="J747" s="95"/>
      <c r="K747" s="95"/>
      <c r="L747" s="95"/>
      <c r="M747" s="95"/>
      <c r="N747" s="95"/>
      <c r="O747" s="95"/>
      <c r="P747" s="95"/>
      <c r="Q747" s="95"/>
      <c r="R747" s="95"/>
      <c r="S747" s="95"/>
      <c r="T747" s="95"/>
      <c r="U747" s="95"/>
      <c r="V747" s="95"/>
      <c r="W747" s="95"/>
      <c r="X747" s="95"/>
      <c r="Y747" s="95"/>
      <c r="Z747" s="95"/>
    </row>
    <row r="748" ht="15.75" hidden="1" customHeight="1" spans="1:26">
      <c r="A748" s="95"/>
      <c r="B748" s="95"/>
      <c r="C748" s="95"/>
      <c r="D748" s="95"/>
      <c r="E748" s="95"/>
      <c r="F748" s="95"/>
      <c r="G748" s="95"/>
      <c r="H748" s="95"/>
      <c r="I748" s="95"/>
      <c r="J748" s="95"/>
      <c r="K748" s="95"/>
      <c r="L748" s="95"/>
      <c r="M748" s="95"/>
      <c r="N748" s="95"/>
      <c r="O748" s="95"/>
      <c r="P748" s="95"/>
      <c r="Q748" s="95"/>
      <c r="R748" s="95"/>
      <c r="S748" s="95"/>
      <c r="T748" s="95"/>
      <c r="U748" s="95"/>
      <c r="V748" s="95"/>
      <c r="W748" s="95"/>
      <c r="X748" s="95"/>
      <c r="Y748" s="95"/>
      <c r="Z748" s="95"/>
    </row>
    <row r="749" ht="15.75" hidden="1" customHeight="1" spans="1:26">
      <c r="A749" s="95"/>
      <c r="B749" s="95"/>
      <c r="C749" s="95"/>
      <c r="D749" s="95"/>
      <c r="E749" s="95"/>
      <c r="F749" s="95"/>
      <c r="G749" s="95"/>
      <c r="H749" s="95"/>
      <c r="I749" s="95"/>
      <c r="J749" s="95"/>
      <c r="K749" s="95"/>
      <c r="L749" s="95"/>
      <c r="M749" s="95"/>
      <c r="N749" s="95"/>
      <c r="O749" s="95"/>
      <c r="P749" s="95"/>
      <c r="Q749" s="95"/>
      <c r="R749" s="95"/>
      <c r="S749" s="95"/>
      <c r="T749" s="95"/>
      <c r="U749" s="95"/>
      <c r="V749" s="95"/>
      <c r="W749" s="95"/>
      <c r="X749" s="95"/>
      <c r="Y749" s="95"/>
      <c r="Z749" s="95"/>
    </row>
    <row r="750" ht="15.75" hidden="1" customHeight="1" spans="1:26">
      <c r="A750" s="95"/>
      <c r="B750" s="95"/>
      <c r="C750" s="95"/>
      <c r="D750" s="95"/>
      <c r="E750" s="95"/>
      <c r="F750" s="95"/>
      <c r="G750" s="95"/>
      <c r="H750" s="95"/>
      <c r="I750" s="95"/>
      <c r="J750" s="95"/>
      <c r="K750" s="95"/>
      <c r="L750" s="95"/>
      <c r="M750" s="95"/>
      <c r="N750" s="95"/>
      <c r="O750" s="95"/>
      <c r="P750" s="95"/>
      <c r="Q750" s="95"/>
      <c r="R750" s="95"/>
      <c r="S750" s="95"/>
      <c r="T750" s="95"/>
      <c r="U750" s="95"/>
      <c r="V750" s="95"/>
      <c r="W750" s="95"/>
      <c r="X750" s="95"/>
      <c r="Y750" s="95"/>
      <c r="Z750" s="95"/>
    </row>
    <row r="751" ht="15.75" hidden="1" customHeight="1" spans="1:26">
      <c r="A751" s="95"/>
      <c r="B751" s="95"/>
      <c r="C751" s="95"/>
      <c r="D751" s="95"/>
      <c r="E751" s="95"/>
      <c r="F751" s="95"/>
      <c r="G751" s="95"/>
      <c r="H751" s="95"/>
      <c r="I751" s="95"/>
      <c r="J751" s="95"/>
      <c r="K751" s="95"/>
      <c r="L751" s="95"/>
      <c r="M751" s="95"/>
      <c r="N751" s="95"/>
      <c r="O751" s="95"/>
      <c r="P751" s="95"/>
      <c r="Q751" s="95"/>
      <c r="R751" s="95"/>
      <c r="S751" s="95"/>
      <c r="T751" s="95"/>
      <c r="U751" s="95"/>
      <c r="V751" s="95"/>
      <c r="W751" s="95"/>
      <c r="X751" s="95"/>
      <c r="Y751" s="95"/>
      <c r="Z751" s="95"/>
    </row>
    <row r="752" ht="15.75" hidden="1" customHeight="1" spans="1:26">
      <c r="A752" s="95"/>
      <c r="B752" s="95"/>
      <c r="C752" s="95"/>
      <c r="D752" s="95"/>
      <c r="E752" s="95"/>
      <c r="F752" s="95"/>
      <c r="G752" s="95"/>
      <c r="H752" s="95"/>
      <c r="I752" s="95"/>
      <c r="J752" s="95"/>
      <c r="K752" s="95"/>
      <c r="L752" s="95"/>
      <c r="M752" s="95"/>
      <c r="N752" s="95"/>
      <c r="O752" s="95"/>
      <c r="P752" s="95"/>
      <c r="Q752" s="95"/>
      <c r="R752" s="95"/>
      <c r="S752" s="95"/>
      <c r="T752" s="95"/>
      <c r="U752" s="95"/>
      <c r="V752" s="95"/>
      <c r="W752" s="95"/>
      <c r="X752" s="95"/>
      <c r="Y752" s="95"/>
      <c r="Z752" s="95"/>
    </row>
    <row r="753" ht="15.75" hidden="1" customHeight="1" spans="1:26">
      <c r="A753" s="95"/>
      <c r="B753" s="95"/>
      <c r="C753" s="95"/>
      <c r="D753" s="95"/>
      <c r="E753" s="95"/>
      <c r="F753" s="95"/>
      <c r="G753" s="95"/>
      <c r="H753" s="95"/>
      <c r="I753" s="95"/>
      <c r="J753" s="95"/>
      <c r="K753" s="95"/>
      <c r="L753" s="95"/>
      <c r="M753" s="95"/>
      <c r="N753" s="95"/>
      <c r="O753" s="95"/>
      <c r="P753" s="95"/>
      <c r="Q753" s="95"/>
      <c r="R753" s="95"/>
      <c r="S753" s="95"/>
      <c r="T753" s="95"/>
      <c r="U753" s="95"/>
      <c r="V753" s="95"/>
      <c r="W753" s="95"/>
      <c r="X753" s="95"/>
      <c r="Y753" s="95"/>
      <c r="Z753" s="95"/>
    </row>
    <row r="754" ht="15.75" hidden="1" customHeight="1" spans="1:26">
      <c r="A754" s="95"/>
      <c r="B754" s="95"/>
      <c r="C754" s="95"/>
      <c r="D754" s="95"/>
      <c r="E754" s="95"/>
      <c r="F754" s="95"/>
      <c r="G754" s="95"/>
      <c r="H754" s="95"/>
      <c r="I754" s="95"/>
      <c r="J754" s="95"/>
      <c r="K754" s="95"/>
      <c r="L754" s="95"/>
      <c r="M754" s="95"/>
      <c r="N754" s="95"/>
      <c r="O754" s="95"/>
      <c r="P754" s="95"/>
      <c r="Q754" s="95"/>
      <c r="R754" s="95"/>
      <c r="S754" s="95"/>
      <c r="T754" s="95"/>
      <c r="U754" s="95"/>
      <c r="V754" s="95"/>
      <c r="W754" s="95"/>
      <c r="X754" s="95"/>
      <c r="Y754" s="95"/>
      <c r="Z754" s="95"/>
    </row>
    <row r="755" ht="15.75" hidden="1" customHeight="1" spans="1:26">
      <c r="A755" s="95"/>
      <c r="B755" s="95"/>
      <c r="C755" s="95"/>
      <c r="D755" s="95"/>
      <c r="E755" s="95"/>
      <c r="F755" s="95"/>
      <c r="G755" s="95"/>
      <c r="H755" s="95"/>
      <c r="I755" s="95"/>
      <c r="J755" s="95"/>
      <c r="K755" s="95"/>
      <c r="L755" s="95"/>
      <c r="M755" s="95"/>
      <c r="N755" s="95"/>
      <c r="O755" s="95"/>
      <c r="P755" s="95"/>
      <c r="Q755" s="95"/>
      <c r="R755" s="95"/>
      <c r="S755" s="95"/>
      <c r="T755" s="95"/>
      <c r="U755" s="95"/>
      <c r="V755" s="95"/>
      <c r="W755" s="95"/>
      <c r="X755" s="95"/>
      <c r="Y755" s="95"/>
      <c r="Z755" s="95"/>
    </row>
    <row r="756" ht="15.75" hidden="1" customHeight="1" spans="1:26">
      <c r="A756" s="95"/>
      <c r="B756" s="95"/>
      <c r="C756" s="95"/>
      <c r="D756" s="95"/>
      <c r="E756" s="95"/>
      <c r="F756" s="95"/>
      <c r="G756" s="95"/>
      <c r="H756" s="95"/>
      <c r="I756" s="95"/>
      <c r="J756" s="95"/>
      <c r="K756" s="95"/>
      <c r="L756" s="95"/>
      <c r="M756" s="95"/>
      <c r="N756" s="95"/>
      <c r="O756" s="95"/>
      <c r="P756" s="95"/>
      <c r="Q756" s="95"/>
      <c r="R756" s="95"/>
      <c r="S756" s="95"/>
      <c r="T756" s="95"/>
      <c r="U756" s="95"/>
      <c r="V756" s="95"/>
      <c r="W756" s="95"/>
      <c r="X756" s="95"/>
      <c r="Y756" s="95"/>
      <c r="Z756" s="95"/>
    </row>
    <row r="757" ht="15.75" hidden="1" customHeight="1" spans="1:26">
      <c r="A757" s="95"/>
      <c r="B757" s="95"/>
      <c r="C757" s="95"/>
      <c r="D757" s="95"/>
      <c r="E757" s="95"/>
      <c r="F757" s="95"/>
      <c r="G757" s="95"/>
      <c r="H757" s="95"/>
      <c r="I757" s="95"/>
      <c r="J757" s="95"/>
      <c r="K757" s="95"/>
      <c r="L757" s="95"/>
      <c r="M757" s="95"/>
      <c r="N757" s="95"/>
      <c r="O757" s="95"/>
      <c r="P757" s="95"/>
      <c r="Q757" s="95"/>
      <c r="R757" s="95"/>
      <c r="S757" s="95"/>
      <c r="T757" s="95"/>
      <c r="U757" s="95"/>
      <c r="V757" s="95"/>
      <c r="W757" s="95"/>
      <c r="X757" s="95"/>
      <c r="Y757" s="95"/>
      <c r="Z757" s="95"/>
    </row>
    <row r="758" ht="15.75" hidden="1" customHeight="1" spans="1:26">
      <c r="A758" s="95"/>
      <c r="B758" s="95"/>
      <c r="C758" s="95"/>
      <c r="D758" s="95"/>
      <c r="E758" s="95"/>
      <c r="F758" s="95"/>
      <c r="G758" s="95"/>
      <c r="H758" s="95"/>
      <c r="I758" s="95"/>
      <c r="J758" s="95"/>
      <c r="K758" s="95"/>
      <c r="L758" s="95"/>
      <c r="M758" s="95"/>
      <c r="N758" s="95"/>
      <c r="O758" s="95"/>
      <c r="P758" s="95"/>
      <c r="Q758" s="95"/>
      <c r="R758" s="95"/>
      <c r="S758" s="95"/>
      <c r="T758" s="95"/>
      <c r="U758" s="95"/>
      <c r="V758" s="95"/>
      <c r="W758" s="95"/>
      <c r="X758" s="95"/>
      <c r="Y758" s="95"/>
      <c r="Z758" s="95"/>
    </row>
    <row r="759" ht="15.75" hidden="1" customHeight="1" spans="1:26">
      <c r="A759" s="95"/>
      <c r="B759" s="95"/>
      <c r="C759" s="95"/>
      <c r="D759" s="95"/>
      <c r="E759" s="95"/>
      <c r="F759" s="95"/>
      <c r="G759" s="95"/>
      <c r="H759" s="95"/>
      <c r="I759" s="95"/>
      <c r="J759" s="95"/>
      <c r="K759" s="95"/>
      <c r="L759" s="95"/>
      <c r="M759" s="95"/>
      <c r="N759" s="95"/>
      <c r="O759" s="95"/>
      <c r="P759" s="95"/>
      <c r="Q759" s="95"/>
      <c r="R759" s="95"/>
      <c r="S759" s="95"/>
      <c r="T759" s="95"/>
      <c r="U759" s="95"/>
      <c r="V759" s="95"/>
      <c r="W759" s="95"/>
      <c r="X759" s="95"/>
      <c r="Y759" s="95"/>
      <c r="Z759" s="95"/>
    </row>
    <row r="760" ht="15.75" hidden="1" customHeight="1" spans="1:26">
      <c r="A760" s="95"/>
      <c r="B760" s="95"/>
      <c r="C760" s="95"/>
      <c r="D760" s="95"/>
      <c r="E760" s="95"/>
      <c r="F760" s="95"/>
      <c r="G760" s="95"/>
      <c r="H760" s="95"/>
      <c r="I760" s="95"/>
      <c r="J760" s="95"/>
      <c r="K760" s="95"/>
      <c r="L760" s="95"/>
      <c r="M760" s="95"/>
      <c r="N760" s="95"/>
      <c r="O760" s="95"/>
      <c r="P760" s="95"/>
      <c r="Q760" s="95"/>
      <c r="R760" s="95"/>
      <c r="S760" s="95"/>
      <c r="T760" s="95"/>
      <c r="U760" s="95"/>
      <c r="V760" s="95"/>
      <c r="W760" s="95"/>
      <c r="X760" s="95"/>
      <c r="Y760" s="95"/>
      <c r="Z760" s="95"/>
    </row>
    <row r="761" ht="15.75" hidden="1" customHeight="1" spans="1:26">
      <c r="A761" s="95"/>
      <c r="B761" s="95"/>
      <c r="C761" s="95"/>
      <c r="D761" s="95"/>
      <c r="E761" s="95"/>
      <c r="F761" s="95"/>
      <c r="G761" s="95"/>
      <c r="H761" s="95"/>
      <c r="I761" s="95"/>
      <c r="J761" s="95"/>
      <c r="K761" s="95"/>
      <c r="L761" s="95"/>
      <c r="M761" s="95"/>
      <c r="N761" s="95"/>
      <c r="O761" s="95"/>
      <c r="P761" s="95"/>
      <c r="Q761" s="95"/>
      <c r="R761" s="95"/>
      <c r="S761" s="95"/>
      <c r="T761" s="95"/>
      <c r="U761" s="95"/>
      <c r="V761" s="95"/>
      <c r="W761" s="95"/>
      <c r="X761" s="95"/>
      <c r="Y761" s="95"/>
      <c r="Z761" s="95"/>
    </row>
    <row r="762" ht="15.75" hidden="1" customHeight="1" spans="1:26">
      <c r="A762" s="95"/>
      <c r="B762" s="95"/>
      <c r="C762" s="95"/>
      <c r="D762" s="95"/>
      <c r="E762" s="95"/>
      <c r="F762" s="95"/>
      <c r="G762" s="95"/>
      <c r="H762" s="95"/>
      <c r="I762" s="95"/>
      <c r="J762" s="95"/>
      <c r="K762" s="95"/>
      <c r="L762" s="95"/>
      <c r="M762" s="95"/>
      <c r="N762" s="95"/>
      <c r="O762" s="95"/>
      <c r="P762" s="95"/>
      <c r="Q762" s="95"/>
      <c r="R762" s="95"/>
      <c r="S762" s="95"/>
      <c r="T762" s="95"/>
      <c r="U762" s="95"/>
      <c r="V762" s="95"/>
      <c r="W762" s="95"/>
      <c r="X762" s="95"/>
      <c r="Y762" s="95"/>
      <c r="Z762" s="95"/>
    </row>
    <row r="763" ht="15.75" hidden="1" customHeight="1" spans="1:26">
      <c r="A763" s="95"/>
      <c r="B763" s="95"/>
      <c r="C763" s="95"/>
      <c r="D763" s="95"/>
      <c r="E763" s="95"/>
      <c r="F763" s="95"/>
      <c r="G763" s="95"/>
      <c r="H763" s="95"/>
      <c r="I763" s="95"/>
      <c r="J763" s="95"/>
      <c r="K763" s="95"/>
      <c r="L763" s="95"/>
      <c r="M763" s="95"/>
      <c r="N763" s="95"/>
      <c r="O763" s="95"/>
      <c r="P763" s="95"/>
      <c r="Q763" s="95"/>
      <c r="R763" s="95"/>
      <c r="S763" s="95"/>
      <c r="T763" s="95"/>
      <c r="U763" s="95"/>
      <c r="V763" s="95"/>
      <c r="W763" s="95"/>
      <c r="X763" s="95"/>
      <c r="Y763" s="95"/>
      <c r="Z763" s="95"/>
    </row>
    <row r="764" ht="15.75" hidden="1" customHeight="1" spans="1:26">
      <c r="A764" s="95"/>
      <c r="B764" s="95"/>
      <c r="C764" s="95"/>
      <c r="D764" s="95"/>
      <c r="E764" s="95"/>
      <c r="F764" s="95"/>
      <c r="G764" s="95"/>
      <c r="H764" s="95"/>
      <c r="I764" s="95"/>
      <c r="J764" s="95"/>
      <c r="K764" s="95"/>
      <c r="L764" s="95"/>
      <c r="M764" s="95"/>
      <c r="N764" s="95"/>
      <c r="O764" s="95"/>
      <c r="P764" s="95"/>
      <c r="Q764" s="95"/>
      <c r="R764" s="95"/>
      <c r="S764" s="95"/>
      <c r="T764" s="95"/>
      <c r="U764" s="95"/>
      <c r="V764" s="95"/>
      <c r="W764" s="95"/>
      <c r="X764" s="95"/>
      <c r="Y764" s="95"/>
      <c r="Z764" s="95"/>
    </row>
    <row r="765" ht="15.75" hidden="1" customHeight="1" spans="1:26">
      <c r="A765" s="95"/>
      <c r="B765" s="95"/>
      <c r="C765" s="95"/>
      <c r="D765" s="95"/>
      <c r="E765" s="95"/>
      <c r="F765" s="95"/>
      <c r="G765" s="95"/>
      <c r="H765" s="95"/>
      <c r="I765" s="95"/>
      <c r="J765" s="95"/>
      <c r="K765" s="95"/>
      <c r="L765" s="95"/>
      <c r="M765" s="95"/>
      <c r="N765" s="95"/>
      <c r="O765" s="95"/>
      <c r="P765" s="95"/>
      <c r="Q765" s="95"/>
      <c r="R765" s="95"/>
      <c r="S765" s="95"/>
      <c r="T765" s="95"/>
      <c r="U765" s="95"/>
      <c r="V765" s="95"/>
      <c r="W765" s="95"/>
      <c r="X765" s="95"/>
      <c r="Y765" s="95"/>
      <c r="Z765" s="95"/>
    </row>
    <row r="766" ht="15.75" hidden="1" customHeight="1" spans="1:26">
      <c r="A766" s="95"/>
      <c r="B766" s="95"/>
      <c r="C766" s="95"/>
      <c r="D766" s="95"/>
      <c r="E766" s="95"/>
      <c r="F766" s="95"/>
      <c r="G766" s="95"/>
      <c r="H766" s="95"/>
      <c r="I766" s="95"/>
      <c r="J766" s="95"/>
      <c r="K766" s="95"/>
      <c r="L766" s="95"/>
      <c r="M766" s="95"/>
      <c r="N766" s="95"/>
      <c r="O766" s="95"/>
      <c r="P766" s="95"/>
      <c r="Q766" s="95"/>
      <c r="R766" s="95"/>
      <c r="S766" s="95"/>
      <c r="T766" s="95"/>
      <c r="U766" s="95"/>
      <c r="V766" s="95"/>
      <c r="W766" s="95"/>
      <c r="X766" s="95"/>
      <c r="Y766" s="95"/>
      <c r="Z766" s="95"/>
    </row>
    <row r="767" ht="15.75" hidden="1" customHeight="1" spans="1:26">
      <c r="A767" s="95"/>
      <c r="B767" s="95"/>
      <c r="C767" s="95"/>
      <c r="D767" s="95"/>
      <c r="E767" s="95"/>
      <c r="F767" s="95"/>
      <c r="G767" s="95"/>
      <c r="H767" s="95"/>
      <c r="I767" s="95"/>
      <c r="J767" s="95"/>
      <c r="K767" s="95"/>
      <c r="L767" s="95"/>
      <c r="M767" s="95"/>
      <c r="N767" s="95"/>
      <c r="O767" s="95"/>
      <c r="P767" s="95"/>
      <c r="Q767" s="95"/>
      <c r="R767" s="95"/>
      <c r="S767" s="95"/>
      <c r="T767" s="95"/>
      <c r="U767" s="95"/>
      <c r="V767" s="95"/>
      <c r="W767" s="95"/>
      <c r="X767" s="95"/>
      <c r="Y767" s="95"/>
      <c r="Z767" s="95"/>
    </row>
    <row r="768" ht="15.75" hidden="1" customHeight="1" spans="1:26">
      <c r="A768" s="95"/>
      <c r="B768" s="95"/>
      <c r="C768" s="95"/>
      <c r="D768" s="95"/>
      <c r="E768" s="95"/>
      <c r="F768" s="95"/>
      <c r="G768" s="95"/>
      <c r="H768" s="95"/>
      <c r="I768" s="95"/>
      <c r="J768" s="95"/>
      <c r="K768" s="95"/>
      <c r="L768" s="95"/>
      <c r="M768" s="95"/>
      <c r="N768" s="95"/>
      <c r="O768" s="95"/>
      <c r="P768" s="95"/>
      <c r="Q768" s="95"/>
      <c r="R768" s="95"/>
      <c r="S768" s="95"/>
      <c r="T768" s="95"/>
      <c r="U768" s="95"/>
      <c r="V768" s="95"/>
      <c r="W768" s="95"/>
      <c r="X768" s="95"/>
      <c r="Y768" s="95"/>
      <c r="Z768" s="95"/>
    </row>
    <row r="769" ht="15.75" hidden="1" customHeight="1" spans="1:26">
      <c r="A769" s="95"/>
      <c r="B769" s="95"/>
      <c r="C769" s="95"/>
      <c r="D769" s="95"/>
      <c r="E769" s="95"/>
      <c r="F769" s="95"/>
      <c r="G769" s="95"/>
      <c r="H769" s="95"/>
      <c r="I769" s="95"/>
      <c r="J769" s="95"/>
      <c r="K769" s="95"/>
      <c r="L769" s="95"/>
      <c r="M769" s="95"/>
      <c r="N769" s="95"/>
      <c r="O769" s="95"/>
      <c r="P769" s="95"/>
      <c r="Q769" s="95"/>
      <c r="R769" s="95"/>
      <c r="S769" s="95"/>
      <c r="T769" s="95"/>
      <c r="U769" s="95"/>
      <c r="V769" s="95"/>
      <c r="W769" s="95"/>
      <c r="X769" s="95"/>
      <c r="Y769" s="95"/>
      <c r="Z769" s="95"/>
    </row>
    <row r="770" ht="15.75" hidden="1" customHeight="1" spans="1:26">
      <c r="A770" s="95"/>
      <c r="B770" s="95"/>
      <c r="C770" s="95"/>
      <c r="D770" s="95"/>
      <c r="E770" s="95"/>
      <c r="F770" s="95"/>
      <c r="G770" s="95"/>
      <c r="H770" s="95"/>
      <c r="I770" s="95"/>
      <c r="J770" s="95"/>
      <c r="K770" s="95"/>
      <c r="L770" s="95"/>
      <c r="M770" s="95"/>
      <c r="N770" s="95"/>
      <c r="O770" s="95"/>
      <c r="P770" s="95"/>
      <c r="Q770" s="95"/>
      <c r="R770" s="95"/>
      <c r="S770" s="95"/>
      <c r="T770" s="95"/>
      <c r="U770" s="95"/>
      <c r="V770" s="95"/>
      <c r="W770" s="95"/>
      <c r="X770" s="95"/>
      <c r="Y770" s="95"/>
      <c r="Z770" s="95"/>
    </row>
    <row r="771" ht="15.75" hidden="1" customHeight="1" spans="1:26">
      <c r="A771" s="95"/>
      <c r="B771" s="95"/>
      <c r="C771" s="95"/>
      <c r="D771" s="95"/>
      <c r="E771" s="95"/>
      <c r="F771" s="95"/>
      <c r="G771" s="95"/>
      <c r="H771" s="95"/>
      <c r="I771" s="95"/>
      <c r="J771" s="95"/>
      <c r="K771" s="95"/>
      <c r="L771" s="95"/>
      <c r="M771" s="95"/>
      <c r="N771" s="95"/>
      <c r="O771" s="95"/>
      <c r="P771" s="95"/>
      <c r="Q771" s="95"/>
      <c r="R771" s="95"/>
      <c r="S771" s="95"/>
      <c r="T771" s="95"/>
      <c r="U771" s="95"/>
      <c r="V771" s="95"/>
      <c r="W771" s="95"/>
      <c r="X771" s="95"/>
      <c r="Y771" s="95"/>
      <c r="Z771" s="95"/>
    </row>
    <row r="772" ht="15.75" hidden="1" customHeight="1" spans="1:26">
      <c r="A772" s="95"/>
      <c r="B772" s="95"/>
      <c r="C772" s="95"/>
      <c r="D772" s="95"/>
      <c r="E772" s="95"/>
      <c r="F772" s="95"/>
      <c r="G772" s="95"/>
      <c r="H772" s="95"/>
      <c r="I772" s="95"/>
      <c r="J772" s="95"/>
      <c r="K772" s="95"/>
      <c r="L772" s="95"/>
      <c r="M772" s="95"/>
      <c r="N772" s="95"/>
      <c r="O772" s="95"/>
      <c r="P772" s="95"/>
      <c r="Q772" s="95"/>
      <c r="R772" s="95"/>
      <c r="S772" s="95"/>
      <c r="T772" s="95"/>
      <c r="U772" s="95"/>
      <c r="V772" s="95"/>
      <c r="W772" s="95"/>
      <c r="X772" s="95"/>
      <c r="Y772" s="95"/>
      <c r="Z772" s="95"/>
    </row>
    <row r="773" ht="15.75" hidden="1" customHeight="1" spans="1:26">
      <c r="A773" s="95"/>
      <c r="B773" s="95"/>
      <c r="C773" s="95"/>
      <c r="D773" s="95"/>
      <c r="E773" s="95"/>
      <c r="F773" s="95"/>
      <c r="G773" s="95"/>
      <c r="H773" s="95"/>
      <c r="I773" s="95"/>
      <c r="J773" s="95"/>
      <c r="K773" s="95"/>
      <c r="L773" s="95"/>
      <c r="M773" s="95"/>
      <c r="N773" s="95"/>
      <c r="O773" s="95"/>
      <c r="P773" s="95"/>
      <c r="Q773" s="95"/>
      <c r="R773" s="95"/>
      <c r="S773" s="95"/>
      <c r="T773" s="95"/>
      <c r="U773" s="95"/>
      <c r="V773" s="95"/>
      <c r="W773" s="95"/>
      <c r="X773" s="95"/>
      <c r="Y773" s="95"/>
      <c r="Z773" s="95"/>
    </row>
    <row r="774" ht="15.75" hidden="1" customHeight="1" spans="1:26">
      <c r="A774" s="95"/>
      <c r="B774" s="95"/>
      <c r="C774" s="95"/>
      <c r="D774" s="95"/>
      <c r="E774" s="95"/>
      <c r="F774" s="95"/>
      <c r="G774" s="95"/>
      <c r="H774" s="95"/>
      <c r="I774" s="95"/>
      <c r="J774" s="95"/>
      <c r="K774" s="95"/>
      <c r="L774" s="95"/>
      <c r="M774" s="95"/>
      <c r="N774" s="95"/>
      <c r="O774" s="95"/>
      <c r="P774" s="95"/>
      <c r="Q774" s="95"/>
      <c r="R774" s="95"/>
      <c r="S774" s="95"/>
      <c r="T774" s="95"/>
      <c r="U774" s="95"/>
      <c r="V774" s="95"/>
      <c r="W774" s="95"/>
      <c r="X774" s="95"/>
      <c r="Y774" s="95"/>
      <c r="Z774" s="95"/>
    </row>
    <row r="775" ht="15.75" hidden="1" customHeight="1" spans="1:26">
      <c r="A775" s="95"/>
      <c r="B775" s="95"/>
      <c r="C775" s="95"/>
      <c r="D775" s="95"/>
      <c r="E775" s="95"/>
      <c r="F775" s="95"/>
      <c r="G775" s="95"/>
      <c r="H775" s="95"/>
      <c r="I775" s="95"/>
      <c r="J775" s="95"/>
      <c r="K775" s="95"/>
      <c r="L775" s="95"/>
      <c r="M775" s="95"/>
      <c r="N775" s="95"/>
      <c r="O775" s="95"/>
      <c r="P775" s="95"/>
      <c r="Q775" s="95"/>
      <c r="R775" s="95"/>
      <c r="S775" s="95"/>
      <c r="T775" s="95"/>
      <c r="U775" s="95"/>
      <c r="V775" s="95"/>
      <c r="W775" s="95"/>
      <c r="X775" s="95"/>
      <c r="Y775" s="95"/>
      <c r="Z775" s="95"/>
    </row>
    <row r="776" ht="15.75" hidden="1" customHeight="1" spans="1:26">
      <c r="A776" s="95"/>
      <c r="B776" s="95"/>
      <c r="C776" s="95"/>
      <c r="D776" s="95"/>
      <c r="E776" s="95"/>
      <c r="F776" s="95"/>
      <c r="G776" s="95"/>
      <c r="H776" s="95"/>
      <c r="I776" s="95"/>
      <c r="J776" s="95"/>
      <c r="K776" s="95"/>
      <c r="L776" s="95"/>
      <c r="M776" s="95"/>
      <c r="N776" s="95"/>
      <c r="O776" s="95"/>
      <c r="P776" s="95"/>
      <c r="Q776" s="95"/>
      <c r="R776" s="95"/>
      <c r="S776" s="95"/>
      <c r="T776" s="95"/>
      <c r="U776" s="95"/>
      <c r="V776" s="95"/>
      <c r="W776" s="95"/>
      <c r="X776" s="95"/>
      <c r="Y776" s="95"/>
      <c r="Z776" s="95"/>
    </row>
    <row r="777" ht="15.75" hidden="1" customHeight="1" spans="1:26">
      <c r="A777" s="95"/>
      <c r="B777" s="95"/>
      <c r="C777" s="95"/>
      <c r="D777" s="95"/>
      <c r="E777" s="95"/>
      <c r="F777" s="95"/>
      <c r="G777" s="95"/>
      <c r="H777" s="95"/>
      <c r="I777" s="95"/>
      <c r="J777" s="95"/>
      <c r="K777" s="95"/>
      <c r="L777" s="95"/>
      <c r="M777" s="95"/>
      <c r="N777" s="95"/>
      <c r="O777" s="95"/>
      <c r="P777" s="95"/>
      <c r="Q777" s="95"/>
      <c r="R777" s="95"/>
      <c r="S777" s="95"/>
      <c r="T777" s="95"/>
      <c r="U777" s="95"/>
      <c r="V777" s="95"/>
      <c r="W777" s="95"/>
      <c r="X777" s="95"/>
      <c r="Y777" s="95"/>
      <c r="Z777" s="95"/>
    </row>
    <row r="778" ht="15.75" hidden="1" customHeight="1" spans="1:26">
      <c r="A778" s="95"/>
      <c r="B778" s="95"/>
      <c r="C778" s="95"/>
      <c r="D778" s="95"/>
      <c r="E778" s="95"/>
      <c r="F778" s="95"/>
      <c r="G778" s="95"/>
      <c r="H778" s="95"/>
      <c r="I778" s="95"/>
      <c r="J778" s="95"/>
      <c r="K778" s="95"/>
      <c r="L778" s="95"/>
      <c r="M778" s="95"/>
      <c r="N778" s="95"/>
      <c r="O778" s="95"/>
      <c r="P778" s="95"/>
      <c r="Q778" s="95"/>
      <c r="R778" s="95"/>
      <c r="S778" s="95"/>
      <c r="T778" s="95"/>
      <c r="U778" s="95"/>
      <c r="V778" s="95"/>
      <c r="W778" s="95"/>
      <c r="X778" s="95"/>
      <c r="Y778" s="95"/>
      <c r="Z778" s="95"/>
    </row>
    <row r="779" ht="15.75" hidden="1" customHeight="1" spans="1:26">
      <c r="A779" s="95"/>
      <c r="B779" s="95"/>
      <c r="C779" s="95"/>
      <c r="D779" s="95"/>
      <c r="E779" s="95"/>
      <c r="F779" s="95"/>
      <c r="G779" s="95"/>
      <c r="H779" s="95"/>
      <c r="I779" s="95"/>
      <c r="J779" s="95"/>
      <c r="K779" s="95"/>
      <c r="L779" s="95"/>
      <c r="M779" s="95"/>
      <c r="N779" s="95"/>
      <c r="O779" s="95"/>
      <c r="P779" s="95"/>
      <c r="Q779" s="95"/>
      <c r="R779" s="95"/>
      <c r="S779" s="95"/>
      <c r="T779" s="95"/>
      <c r="U779" s="95"/>
      <c r="V779" s="95"/>
      <c r="W779" s="95"/>
      <c r="X779" s="95"/>
      <c r="Y779" s="95"/>
      <c r="Z779" s="95"/>
    </row>
    <row r="780" ht="15.75" hidden="1" customHeight="1" spans="1:26">
      <c r="A780" s="95"/>
      <c r="B780" s="95"/>
      <c r="C780" s="95"/>
      <c r="D780" s="95"/>
      <c r="E780" s="95"/>
      <c r="F780" s="95"/>
      <c r="G780" s="95"/>
      <c r="H780" s="95"/>
      <c r="I780" s="95"/>
      <c r="J780" s="95"/>
      <c r="K780" s="95"/>
      <c r="L780" s="95"/>
      <c r="M780" s="95"/>
      <c r="N780" s="95"/>
      <c r="O780" s="95"/>
      <c r="P780" s="95"/>
      <c r="Q780" s="95"/>
      <c r="R780" s="95"/>
      <c r="S780" s="95"/>
      <c r="T780" s="95"/>
      <c r="U780" s="95"/>
      <c r="V780" s="95"/>
      <c r="W780" s="95"/>
      <c r="X780" s="95"/>
      <c r="Y780" s="95"/>
      <c r="Z780" s="95"/>
    </row>
    <row r="781" ht="15.75" hidden="1" customHeight="1" spans="1:26">
      <c r="A781" s="95"/>
      <c r="B781" s="95"/>
      <c r="C781" s="95"/>
      <c r="D781" s="95"/>
      <c r="E781" s="95"/>
      <c r="F781" s="95"/>
      <c r="G781" s="95"/>
      <c r="H781" s="95"/>
      <c r="I781" s="95"/>
      <c r="J781" s="95"/>
      <c r="K781" s="95"/>
      <c r="L781" s="95"/>
      <c r="M781" s="95"/>
      <c r="N781" s="95"/>
      <c r="O781" s="95"/>
      <c r="P781" s="95"/>
      <c r="Q781" s="95"/>
      <c r="R781" s="95"/>
      <c r="S781" s="95"/>
      <c r="T781" s="95"/>
      <c r="U781" s="95"/>
      <c r="V781" s="95"/>
      <c r="W781" s="95"/>
      <c r="X781" s="95"/>
      <c r="Y781" s="95"/>
      <c r="Z781" s="95"/>
    </row>
    <row r="782" ht="15.75" hidden="1" customHeight="1" spans="1:26">
      <c r="A782" s="95"/>
      <c r="B782" s="95"/>
      <c r="C782" s="95"/>
      <c r="D782" s="95"/>
      <c r="E782" s="95"/>
      <c r="F782" s="95"/>
      <c r="G782" s="95"/>
      <c r="H782" s="95"/>
      <c r="I782" s="95"/>
      <c r="J782" s="95"/>
      <c r="K782" s="95"/>
      <c r="L782" s="95"/>
      <c r="M782" s="95"/>
      <c r="N782" s="95"/>
      <c r="O782" s="95"/>
      <c r="P782" s="95"/>
      <c r="Q782" s="95"/>
      <c r="R782" s="95"/>
      <c r="S782" s="95"/>
      <c r="T782" s="95"/>
      <c r="U782" s="95"/>
      <c r="V782" s="95"/>
      <c r="W782" s="95"/>
      <c r="X782" s="95"/>
      <c r="Y782" s="95"/>
      <c r="Z782" s="95"/>
    </row>
    <row r="783" ht="15.75" hidden="1" customHeight="1" spans="1:26">
      <c r="A783" s="95"/>
      <c r="B783" s="95"/>
      <c r="C783" s="95"/>
      <c r="D783" s="95"/>
      <c r="E783" s="95"/>
      <c r="F783" s="95"/>
      <c r="G783" s="95"/>
      <c r="H783" s="95"/>
      <c r="I783" s="95"/>
      <c r="J783" s="95"/>
      <c r="K783" s="95"/>
      <c r="L783" s="95"/>
      <c r="M783" s="95"/>
      <c r="N783" s="95"/>
      <c r="O783" s="95"/>
      <c r="P783" s="95"/>
      <c r="Q783" s="95"/>
      <c r="R783" s="95"/>
      <c r="S783" s="95"/>
      <c r="T783" s="95"/>
      <c r="U783" s="95"/>
      <c r="V783" s="95"/>
      <c r="W783" s="95"/>
      <c r="X783" s="95"/>
      <c r="Y783" s="95"/>
      <c r="Z783" s="95"/>
    </row>
    <row r="784" ht="15.75" hidden="1" customHeight="1" spans="1:26">
      <c r="A784" s="95"/>
      <c r="B784" s="95"/>
      <c r="C784" s="95"/>
      <c r="D784" s="95"/>
      <c r="E784" s="95"/>
      <c r="F784" s="95"/>
      <c r="G784" s="95"/>
      <c r="H784" s="95"/>
      <c r="I784" s="95"/>
      <c r="J784" s="95"/>
      <c r="K784" s="95"/>
      <c r="L784" s="95"/>
      <c r="M784" s="95"/>
      <c r="N784" s="95"/>
      <c r="O784" s="95"/>
      <c r="P784" s="95"/>
      <c r="Q784" s="95"/>
      <c r="R784" s="95"/>
      <c r="S784" s="95"/>
      <c r="T784" s="95"/>
      <c r="U784" s="95"/>
      <c r="V784" s="95"/>
      <c r="W784" s="95"/>
      <c r="X784" s="95"/>
      <c r="Y784" s="95"/>
      <c r="Z784" s="95"/>
    </row>
    <row r="785" ht="15.75" hidden="1" customHeight="1" spans="1:26">
      <c r="A785" s="95"/>
      <c r="B785" s="95"/>
      <c r="C785" s="95"/>
      <c r="D785" s="95"/>
      <c r="E785" s="95"/>
      <c r="F785" s="95"/>
      <c r="G785" s="95"/>
      <c r="H785" s="95"/>
      <c r="I785" s="95"/>
      <c r="J785" s="95"/>
      <c r="K785" s="95"/>
      <c r="L785" s="95"/>
      <c r="M785" s="95"/>
      <c r="N785" s="95"/>
      <c r="O785" s="95"/>
      <c r="P785" s="95"/>
      <c r="Q785" s="95"/>
      <c r="R785" s="95"/>
      <c r="S785" s="95"/>
      <c r="T785" s="95"/>
      <c r="U785" s="95"/>
      <c r="V785" s="95"/>
      <c r="W785" s="95"/>
      <c r="X785" s="95"/>
      <c r="Y785" s="95"/>
      <c r="Z785" s="95"/>
    </row>
    <row r="786" ht="15.75" hidden="1" customHeight="1" spans="1:26">
      <c r="A786" s="95"/>
      <c r="B786" s="95"/>
      <c r="C786" s="95"/>
      <c r="D786" s="95"/>
      <c r="E786" s="95"/>
      <c r="F786" s="95"/>
      <c r="G786" s="95"/>
      <c r="H786" s="95"/>
      <c r="I786" s="95"/>
      <c r="J786" s="95"/>
      <c r="K786" s="95"/>
      <c r="L786" s="95"/>
      <c r="M786" s="95"/>
      <c r="N786" s="95"/>
      <c r="O786" s="95"/>
      <c r="P786" s="95"/>
      <c r="Q786" s="95"/>
      <c r="R786" s="95"/>
      <c r="S786" s="95"/>
      <c r="T786" s="95"/>
      <c r="U786" s="95"/>
      <c r="V786" s="95"/>
      <c r="W786" s="95"/>
      <c r="X786" s="95"/>
      <c r="Y786" s="95"/>
      <c r="Z786" s="95"/>
    </row>
    <row r="787" ht="15.75" hidden="1" customHeight="1" spans="1:26">
      <c r="A787" s="95"/>
      <c r="B787" s="95"/>
      <c r="C787" s="95"/>
      <c r="D787" s="95"/>
      <c r="E787" s="95"/>
      <c r="F787" s="95"/>
      <c r="G787" s="95"/>
      <c r="H787" s="95"/>
      <c r="I787" s="95"/>
      <c r="J787" s="95"/>
      <c r="K787" s="95"/>
      <c r="L787" s="95"/>
      <c r="M787" s="95"/>
      <c r="N787" s="95"/>
      <c r="O787" s="95"/>
      <c r="P787" s="95"/>
      <c r="Q787" s="95"/>
      <c r="R787" s="95"/>
      <c r="S787" s="95"/>
      <c r="T787" s="95"/>
      <c r="U787" s="95"/>
      <c r="V787" s="95"/>
      <c r="W787" s="95"/>
      <c r="X787" s="95"/>
      <c r="Y787" s="95"/>
      <c r="Z787" s="95"/>
    </row>
    <row r="788" ht="15.75" hidden="1" customHeight="1" spans="1:26">
      <c r="A788" s="95"/>
      <c r="B788" s="95"/>
      <c r="C788" s="95"/>
      <c r="D788" s="95"/>
      <c r="E788" s="95"/>
      <c r="F788" s="95"/>
      <c r="G788" s="95"/>
      <c r="H788" s="95"/>
      <c r="I788" s="95"/>
      <c r="J788" s="95"/>
      <c r="K788" s="95"/>
      <c r="L788" s="95"/>
      <c r="M788" s="95"/>
      <c r="N788" s="95"/>
      <c r="O788" s="95"/>
      <c r="P788" s="95"/>
      <c r="Q788" s="95"/>
      <c r="R788" s="95"/>
      <c r="S788" s="95"/>
      <c r="T788" s="95"/>
      <c r="U788" s="95"/>
      <c r="V788" s="95"/>
      <c r="W788" s="95"/>
      <c r="X788" s="95"/>
      <c r="Y788" s="95"/>
      <c r="Z788" s="95"/>
    </row>
    <row r="789" ht="15.75" hidden="1" customHeight="1" spans="1:26">
      <c r="A789" s="95"/>
      <c r="B789" s="95"/>
      <c r="C789" s="95"/>
      <c r="D789" s="95"/>
      <c r="E789" s="95"/>
      <c r="F789" s="95"/>
      <c r="G789" s="95"/>
      <c r="H789" s="95"/>
      <c r="I789" s="95"/>
      <c r="J789" s="95"/>
      <c r="K789" s="95"/>
      <c r="L789" s="95"/>
      <c r="M789" s="95"/>
      <c r="N789" s="95"/>
      <c r="O789" s="95"/>
      <c r="P789" s="95"/>
      <c r="Q789" s="95"/>
      <c r="R789" s="95"/>
      <c r="S789" s="95"/>
      <c r="T789" s="95"/>
      <c r="U789" s="95"/>
      <c r="V789" s="95"/>
      <c r="W789" s="95"/>
      <c r="X789" s="95"/>
      <c r="Y789" s="95"/>
      <c r="Z789" s="95"/>
    </row>
    <row r="790" ht="15.75" hidden="1" customHeight="1" spans="1:26">
      <c r="A790" s="95"/>
      <c r="B790" s="95"/>
      <c r="C790" s="95"/>
      <c r="D790" s="95"/>
      <c r="E790" s="95"/>
      <c r="F790" s="95"/>
      <c r="G790" s="95"/>
      <c r="H790" s="95"/>
      <c r="I790" s="95"/>
      <c r="J790" s="95"/>
      <c r="K790" s="95"/>
      <c r="L790" s="95"/>
      <c r="M790" s="95"/>
      <c r="N790" s="95"/>
      <c r="O790" s="95"/>
      <c r="P790" s="95"/>
      <c r="Q790" s="95"/>
      <c r="R790" s="95"/>
      <c r="S790" s="95"/>
      <c r="T790" s="95"/>
      <c r="U790" s="95"/>
      <c r="V790" s="95"/>
      <c r="W790" s="95"/>
      <c r="X790" s="95"/>
      <c r="Y790" s="95"/>
      <c r="Z790" s="95"/>
    </row>
    <row r="791" ht="15.75" hidden="1" customHeight="1" spans="1:26">
      <c r="A791" s="95"/>
      <c r="B791" s="95"/>
      <c r="C791" s="95"/>
      <c r="D791" s="95"/>
      <c r="E791" s="95"/>
      <c r="F791" s="95"/>
      <c r="G791" s="95"/>
      <c r="H791" s="95"/>
      <c r="I791" s="95"/>
      <c r="J791" s="95"/>
      <c r="K791" s="95"/>
      <c r="L791" s="95"/>
      <c r="M791" s="95"/>
      <c r="N791" s="95"/>
      <c r="O791" s="95"/>
      <c r="P791" s="95"/>
      <c r="Q791" s="95"/>
      <c r="R791" s="95"/>
      <c r="S791" s="95"/>
      <c r="T791" s="95"/>
      <c r="U791" s="95"/>
      <c r="V791" s="95"/>
      <c r="W791" s="95"/>
      <c r="X791" s="95"/>
      <c r="Y791" s="95"/>
      <c r="Z791" s="95"/>
    </row>
    <row r="792" ht="15.75" hidden="1" customHeight="1" spans="1:26">
      <c r="A792" s="95"/>
      <c r="B792" s="95"/>
      <c r="C792" s="95"/>
      <c r="D792" s="95"/>
      <c r="E792" s="95"/>
      <c r="F792" s="95"/>
      <c r="G792" s="95"/>
      <c r="H792" s="95"/>
      <c r="I792" s="95"/>
      <c r="J792" s="95"/>
      <c r="K792" s="95"/>
      <c r="L792" s="95"/>
      <c r="M792" s="95"/>
      <c r="N792" s="95"/>
      <c r="O792" s="95"/>
      <c r="P792" s="95"/>
      <c r="Q792" s="95"/>
      <c r="R792" s="95"/>
      <c r="S792" s="95"/>
      <c r="T792" s="95"/>
      <c r="U792" s="95"/>
      <c r="V792" s="95"/>
      <c r="W792" s="95"/>
      <c r="X792" s="95"/>
      <c r="Y792" s="95"/>
      <c r="Z792" s="95"/>
    </row>
    <row r="793" ht="15.75" hidden="1" customHeight="1" spans="1:26">
      <c r="A793" s="95"/>
      <c r="B793" s="95"/>
      <c r="C793" s="95"/>
      <c r="D793" s="95"/>
      <c r="E793" s="95"/>
      <c r="F793" s="95"/>
      <c r="G793" s="95"/>
      <c r="H793" s="95"/>
      <c r="I793" s="95"/>
      <c r="J793" s="95"/>
      <c r="K793" s="95"/>
      <c r="L793" s="95"/>
      <c r="M793" s="95"/>
      <c r="N793" s="95"/>
      <c r="O793" s="95"/>
      <c r="P793" s="95"/>
      <c r="Q793" s="95"/>
      <c r="R793" s="95"/>
      <c r="S793" s="95"/>
      <c r="T793" s="95"/>
      <c r="U793" s="95"/>
      <c r="V793" s="95"/>
      <c r="W793" s="95"/>
      <c r="X793" s="95"/>
      <c r="Y793" s="95"/>
      <c r="Z793" s="95"/>
    </row>
    <row r="794" ht="15.75" hidden="1" customHeight="1" spans="1:26">
      <c r="A794" s="95"/>
      <c r="B794" s="95"/>
      <c r="C794" s="95"/>
      <c r="D794" s="95"/>
      <c r="E794" s="95"/>
      <c r="F794" s="95"/>
      <c r="G794" s="95"/>
      <c r="H794" s="95"/>
      <c r="I794" s="95"/>
      <c r="J794" s="95"/>
      <c r="K794" s="95"/>
      <c r="L794" s="95"/>
      <c r="M794" s="95"/>
      <c r="N794" s="95"/>
      <c r="O794" s="95"/>
      <c r="P794" s="95"/>
      <c r="Q794" s="95"/>
      <c r="R794" s="95"/>
      <c r="S794" s="95"/>
      <c r="T794" s="95"/>
      <c r="U794" s="95"/>
      <c r="V794" s="95"/>
      <c r="W794" s="95"/>
      <c r="X794" s="95"/>
      <c r="Y794" s="95"/>
      <c r="Z794" s="95"/>
    </row>
    <row r="795" ht="15.75" hidden="1" customHeight="1" spans="1:26">
      <c r="A795" s="95"/>
      <c r="B795" s="95"/>
      <c r="C795" s="95"/>
      <c r="D795" s="95"/>
      <c r="E795" s="95"/>
      <c r="F795" s="95"/>
      <c r="G795" s="95"/>
      <c r="H795" s="95"/>
      <c r="I795" s="95"/>
      <c r="J795" s="95"/>
      <c r="K795" s="95"/>
      <c r="L795" s="95"/>
      <c r="M795" s="95"/>
      <c r="N795" s="95"/>
      <c r="O795" s="95"/>
      <c r="P795" s="95"/>
      <c r="Q795" s="95"/>
      <c r="R795" s="95"/>
      <c r="S795" s="95"/>
      <c r="T795" s="95"/>
      <c r="U795" s="95"/>
      <c r="V795" s="95"/>
      <c r="W795" s="95"/>
      <c r="X795" s="95"/>
      <c r="Y795" s="95"/>
      <c r="Z795" s="95"/>
    </row>
    <row r="796" ht="15.75" hidden="1" customHeight="1" spans="1:26">
      <c r="A796" s="95"/>
      <c r="B796" s="95"/>
      <c r="C796" s="95"/>
      <c r="D796" s="95"/>
      <c r="E796" s="95"/>
      <c r="F796" s="95"/>
      <c r="G796" s="95"/>
      <c r="H796" s="95"/>
      <c r="I796" s="95"/>
      <c r="J796" s="95"/>
      <c r="K796" s="95"/>
      <c r="L796" s="95"/>
      <c r="M796" s="95"/>
      <c r="N796" s="95"/>
      <c r="O796" s="95"/>
      <c r="P796" s="95"/>
      <c r="Q796" s="95"/>
      <c r="R796" s="95"/>
      <c r="S796" s="95"/>
      <c r="T796" s="95"/>
      <c r="U796" s="95"/>
      <c r="V796" s="95"/>
      <c r="W796" s="95"/>
      <c r="X796" s="95"/>
      <c r="Y796" s="95"/>
      <c r="Z796" s="95"/>
    </row>
    <row r="797" ht="15.75" hidden="1" customHeight="1" spans="1:26">
      <c r="A797" s="95"/>
      <c r="B797" s="95"/>
      <c r="C797" s="95"/>
      <c r="D797" s="95"/>
      <c r="E797" s="95"/>
      <c r="F797" s="95"/>
      <c r="G797" s="95"/>
      <c r="H797" s="95"/>
      <c r="I797" s="95"/>
      <c r="J797" s="95"/>
      <c r="K797" s="95"/>
      <c r="L797" s="95"/>
      <c r="M797" s="95"/>
      <c r="N797" s="95"/>
      <c r="O797" s="95"/>
      <c r="P797" s="95"/>
      <c r="Q797" s="95"/>
      <c r="R797" s="95"/>
      <c r="S797" s="95"/>
      <c r="T797" s="95"/>
      <c r="U797" s="95"/>
      <c r="V797" s="95"/>
      <c r="W797" s="95"/>
      <c r="X797" s="95"/>
      <c r="Y797" s="95"/>
      <c r="Z797" s="95"/>
    </row>
    <row r="798" ht="15.75" hidden="1" customHeight="1" spans="1:26">
      <c r="A798" s="95"/>
      <c r="B798" s="95"/>
      <c r="C798" s="95"/>
      <c r="D798" s="95"/>
      <c r="E798" s="95"/>
      <c r="F798" s="95"/>
      <c r="G798" s="95"/>
      <c r="H798" s="95"/>
      <c r="I798" s="95"/>
      <c r="J798" s="95"/>
      <c r="K798" s="95"/>
      <c r="L798" s="95"/>
      <c r="M798" s="95"/>
      <c r="N798" s="95"/>
      <c r="O798" s="95"/>
      <c r="P798" s="95"/>
      <c r="Q798" s="95"/>
      <c r="R798" s="95"/>
      <c r="S798" s="95"/>
      <c r="T798" s="95"/>
      <c r="U798" s="95"/>
      <c r="V798" s="95"/>
      <c r="W798" s="95"/>
      <c r="X798" s="95"/>
      <c r="Y798" s="95"/>
      <c r="Z798" s="95"/>
    </row>
    <row r="799" ht="15.75" hidden="1" customHeight="1" spans="1:26">
      <c r="A799" s="95"/>
      <c r="B799" s="95"/>
      <c r="C799" s="95"/>
      <c r="D799" s="95"/>
      <c r="E799" s="95"/>
      <c r="F799" s="95"/>
      <c r="G799" s="95"/>
      <c r="H799" s="95"/>
      <c r="I799" s="95"/>
      <c r="J799" s="95"/>
      <c r="K799" s="95"/>
      <c r="L799" s="95"/>
      <c r="M799" s="95"/>
      <c r="N799" s="95"/>
      <c r="O799" s="95"/>
      <c r="P799" s="95"/>
      <c r="Q799" s="95"/>
      <c r="R799" s="95"/>
      <c r="S799" s="95"/>
      <c r="T799" s="95"/>
      <c r="U799" s="95"/>
      <c r="V799" s="95"/>
      <c r="W799" s="95"/>
      <c r="X799" s="95"/>
      <c r="Y799" s="95"/>
      <c r="Z799" s="95"/>
    </row>
    <row r="800" ht="15.75" hidden="1" customHeight="1" spans="1:26">
      <c r="A800" s="95"/>
      <c r="B800" s="95"/>
      <c r="C800" s="95"/>
      <c r="D800" s="95"/>
      <c r="E800" s="95"/>
      <c r="F800" s="95"/>
      <c r="G800" s="95"/>
      <c r="H800" s="95"/>
      <c r="I800" s="95"/>
      <c r="J800" s="95"/>
      <c r="K800" s="95"/>
      <c r="L800" s="95"/>
      <c r="M800" s="95"/>
      <c r="N800" s="95"/>
      <c r="O800" s="95"/>
      <c r="P800" s="95"/>
      <c r="Q800" s="95"/>
      <c r="R800" s="95"/>
      <c r="S800" s="95"/>
      <c r="T800" s="95"/>
      <c r="U800" s="95"/>
      <c r="V800" s="95"/>
      <c r="W800" s="95"/>
      <c r="X800" s="95"/>
      <c r="Y800" s="95"/>
      <c r="Z800" s="95"/>
    </row>
    <row r="801" ht="15.75" hidden="1" customHeight="1" spans="1:26">
      <c r="A801" s="95"/>
      <c r="B801" s="95"/>
      <c r="C801" s="95"/>
      <c r="D801" s="95"/>
      <c r="E801" s="95"/>
      <c r="F801" s="95"/>
      <c r="G801" s="95"/>
      <c r="H801" s="95"/>
      <c r="I801" s="95"/>
      <c r="J801" s="95"/>
      <c r="K801" s="95"/>
      <c r="L801" s="95"/>
      <c r="M801" s="95"/>
      <c r="N801" s="95"/>
      <c r="O801" s="95"/>
      <c r="P801" s="95"/>
      <c r="Q801" s="95"/>
      <c r="R801" s="95"/>
      <c r="S801" s="95"/>
      <c r="T801" s="95"/>
      <c r="U801" s="95"/>
      <c r="V801" s="95"/>
      <c r="W801" s="95"/>
      <c r="X801" s="95"/>
      <c r="Y801" s="95"/>
      <c r="Z801" s="95"/>
    </row>
    <row r="802" ht="15.75" hidden="1" customHeight="1" spans="1:26">
      <c r="A802" s="95"/>
      <c r="B802" s="95"/>
      <c r="C802" s="95"/>
      <c r="D802" s="95"/>
      <c r="E802" s="95"/>
      <c r="F802" s="95"/>
      <c r="G802" s="95"/>
      <c r="H802" s="95"/>
      <c r="I802" s="95"/>
      <c r="J802" s="95"/>
      <c r="K802" s="95"/>
      <c r="L802" s="95"/>
      <c r="M802" s="95"/>
      <c r="N802" s="95"/>
      <c r="O802" s="95"/>
      <c r="P802" s="95"/>
      <c r="Q802" s="95"/>
      <c r="R802" s="95"/>
      <c r="S802" s="95"/>
      <c r="T802" s="95"/>
      <c r="U802" s="95"/>
      <c r="V802" s="95"/>
      <c r="W802" s="95"/>
      <c r="X802" s="95"/>
      <c r="Y802" s="95"/>
      <c r="Z802" s="95"/>
    </row>
    <row r="803" ht="15.75" hidden="1" customHeight="1" spans="1:26">
      <c r="A803" s="95"/>
      <c r="B803" s="95"/>
      <c r="C803" s="95"/>
      <c r="D803" s="95"/>
      <c r="E803" s="95"/>
      <c r="F803" s="95"/>
      <c r="G803" s="95"/>
      <c r="H803" s="95"/>
      <c r="I803" s="95"/>
      <c r="J803" s="95"/>
      <c r="K803" s="95"/>
      <c r="L803" s="95"/>
      <c r="M803" s="95"/>
      <c r="N803" s="95"/>
      <c r="O803" s="95"/>
      <c r="P803" s="95"/>
      <c r="Q803" s="95"/>
      <c r="R803" s="95"/>
      <c r="S803" s="95"/>
      <c r="T803" s="95"/>
      <c r="U803" s="95"/>
      <c r="V803" s="95"/>
      <c r="W803" s="95"/>
      <c r="X803" s="95"/>
      <c r="Y803" s="95"/>
      <c r="Z803" s="95"/>
    </row>
    <row r="804" ht="15.75" hidden="1" customHeight="1" spans="1:26">
      <c r="A804" s="95"/>
      <c r="B804" s="95"/>
      <c r="C804" s="95"/>
      <c r="D804" s="95"/>
      <c r="E804" s="95"/>
      <c r="F804" s="95"/>
      <c r="G804" s="95"/>
      <c r="H804" s="95"/>
      <c r="I804" s="95"/>
      <c r="J804" s="95"/>
      <c r="K804" s="95"/>
      <c r="L804" s="95"/>
      <c r="M804" s="95"/>
      <c r="N804" s="95"/>
      <c r="O804" s="95"/>
      <c r="P804" s="95"/>
      <c r="Q804" s="95"/>
      <c r="R804" s="95"/>
      <c r="S804" s="95"/>
      <c r="T804" s="95"/>
      <c r="U804" s="95"/>
      <c r="V804" s="95"/>
      <c r="W804" s="95"/>
      <c r="X804" s="95"/>
      <c r="Y804" s="95"/>
      <c r="Z804" s="95"/>
    </row>
    <row r="805" ht="15.75" hidden="1" customHeight="1" spans="1:26">
      <c r="A805" s="95"/>
      <c r="B805" s="95"/>
      <c r="C805" s="95"/>
      <c r="D805" s="95"/>
      <c r="E805" s="95"/>
      <c r="F805" s="95"/>
      <c r="G805" s="95"/>
      <c r="H805" s="95"/>
      <c r="I805" s="95"/>
      <c r="J805" s="95"/>
      <c r="K805" s="95"/>
      <c r="L805" s="95"/>
      <c r="M805" s="95"/>
      <c r="N805" s="95"/>
      <c r="O805" s="95"/>
      <c r="P805" s="95"/>
      <c r="Q805" s="95"/>
      <c r="R805" s="95"/>
      <c r="S805" s="95"/>
      <c r="T805" s="95"/>
      <c r="U805" s="95"/>
      <c r="V805" s="95"/>
      <c r="W805" s="95"/>
      <c r="X805" s="95"/>
      <c r="Y805" s="95"/>
      <c r="Z805" s="95"/>
    </row>
    <row r="806" ht="15.75" hidden="1" customHeight="1" spans="1:26">
      <c r="A806" s="95"/>
      <c r="B806" s="95"/>
      <c r="C806" s="95"/>
      <c r="D806" s="95"/>
      <c r="E806" s="95"/>
      <c r="F806" s="95"/>
      <c r="G806" s="95"/>
      <c r="H806" s="95"/>
      <c r="I806" s="95"/>
      <c r="J806" s="95"/>
      <c r="K806" s="95"/>
      <c r="L806" s="95"/>
      <c r="M806" s="95"/>
      <c r="N806" s="95"/>
      <c r="O806" s="95"/>
      <c r="P806" s="95"/>
      <c r="Q806" s="95"/>
      <c r="R806" s="95"/>
      <c r="S806" s="95"/>
      <c r="T806" s="95"/>
      <c r="U806" s="95"/>
      <c r="V806" s="95"/>
      <c r="W806" s="95"/>
      <c r="X806" s="95"/>
      <c r="Y806" s="95"/>
      <c r="Z806" s="95"/>
    </row>
    <row r="807" ht="15.75" hidden="1" customHeight="1" spans="1:26">
      <c r="A807" s="95"/>
      <c r="B807" s="95"/>
      <c r="C807" s="95"/>
      <c r="D807" s="95"/>
      <c r="E807" s="95"/>
      <c r="F807" s="95"/>
      <c r="G807" s="95"/>
      <c r="H807" s="95"/>
      <c r="I807" s="95"/>
      <c r="J807" s="95"/>
      <c r="K807" s="95"/>
      <c r="L807" s="95"/>
      <c r="M807" s="95"/>
      <c r="N807" s="95"/>
      <c r="O807" s="95"/>
      <c r="P807" s="95"/>
      <c r="Q807" s="95"/>
      <c r="R807" s="95"/>
      <c r="S807" s="95"/>
      <c r="T807" s="95"/>
      <c r="U807" s="95"/>
      <c r="V807" s="95"/>
      <c r="W807" s="95"/>
      <c r="X807" s="95"/>
      <c r="Y807" s="95"/>
      <c r="Z807" s="95"/>
    </row>
    <row r="808" ht="15.75" hidden="1" customHeight="1" spans="1:26">
      <c r="A808" s="95"/>
      <c r="B808" s="95"/>
      <c r="C808" s="95"/>
      <c r="D808" s="95"/>
      <c r="E808" s="95"/>
      <c r="F808" s="95"/>
      <c r="G808" s="95"/>
      <c r="H808" s="95"/>
      <c r="I808" s="95"/>
      <c r="J808" s="95"/>
      <c r="K808" s="95"/>
      <c r="L808" s="95"/>
      <c r="M808" s="95"/>
      <c r="N808" s="95"/>
      <c r="O808" s="95"/>
      <c r="P808" s="95"/>
      <c r="Q808" s="95"/>
      <c r="R808" s="95"/>
      <c r="S808" s="95"/>
      <c r="T808" s="95"/>
      <c r="U808" s="95"/>
      <c r="V808" s="95"/>
      <c r="W808" s="95"/>
      <c r="X808" s="95"/>
      <c r="Y808" s="95"/>
      <c r="Z808" s="95"/>
    </row>
    <row r="809" ht="15.75" hidden="1" customHeight="1" spans="1:26">
      <c r="A809" s="95"/>
      <c r="B809" s="95"/>
      <c r="C809" s="95"/>
      <c r="D809" s="95"/>
      <c r="E809" s="95"/>
      <c r="F809" s="95"/>
      <c r="G809" s="95"/>
      <c r="H809" s="95"/>
      <c r="I809" s="95"/>
      <c r="J809" s="95"/>
      <c r="K809" s="95"/>
      <c r="L809" s="95"/>
      <c r="M809" s="95"/>
      <c r="N809" s="95"/>
      <c r="O809" s="95"/>
      <c r="P809" s="95"/>
      <c r="Q809" s="95"/>
      <c r="R809" s="95"/>
      <c r="S809" s="95"/>
      <c r="T809" s="95"/>
      <c r="U809" s="95"/>
      <c r="V809" s="95"/>
      <c r="W809" s="95"/>
      <c r="X809" s="95"/>
      <c r="Y809" s="95"/>
      <c r="Z809" s="95"/>
    </row>
    <row r="810" ht="15.75" hidden="1" customHeight="1" spans="1:26">
      <c r="A810" s="95"/>
      <c r="B810" s="95"/>
      <c r="C810" s="95"/>
      <c r="D810" s="95"/>
      <c r="E810" s="95"/>
      <c r="F810" s="95"/>
      <c r="G810" s="95"/>
      <c r="H810" s="95"/>
      <c r="I810" s="95"/>
      <c r="J810" s="95"/>
      <c r="K810" s="95"/>
      <c r="L810" s="95"/>
      <c r="M810" s="95"/>
      <c r="N810" s="95"/>
      <c r="O810" s="95"/>
      <c r="P810" s="95"/>
      <c r="Q810" s="95"/>
      <c r="R810" s="95"/>
      <c r="S810" s="95"/>
      <c r="T810" s="95"/>
      <c r="U810" s="95"/>
      <c r="V810" s="95"/>
      <c r="W810" s="95"/>
      <c r="X810" s="95"/>
      <c r="Y810" s="95"/>
      <c r="Z810" s="95"/>
    </row>
    <row r="811" ht="15.75" hidden="1" customHeight="1" spans="1:26">
      <c r="A811" s="95"/>
      <c r="B811" s="95"/>
      <c r="C811" s="95"/>
      <c r="D811" s="95"/>
      <c r="E811" s="95"/>
      <c r="F811" s="95"/>
      <c r="G811" s="95"/>
      <c r="H811" s="95"/>
      <c r="I811" s="95"/>
      <c r="J811" s="95"/>
      <c r="K811" s="95"/>
      <c r="L811" s="95"/>
      <c r="M811" s="95"/>
      <c r="N811" s="95"/>
      <c r="O811" s="95"/>
      <c r="P811" s="95"/>
      <c r="Q811" s="95"/>
      <c r="R811" s="95"/>
      <c r="S811" s="95"/>
      <c r="T811" s="95"/>
      <c r="U811" s="95"/>
      <c r="V811" s="95"/>
      <c r="W811" s="95"/>
      <c r="X811" s="95"/>
      <c r="Y811" s="95"/>
      <c r="Z811" s="95"/>
    </row>
    <row r="812" ht="15.75" hidden="1" customHeight="1" spans="1:26">
      <c r="A812" s="95"/>
      <c r="B812" s="95"/>
      <c r="C812" s="95"/>
      <c r="D812" s="95"/>
      <c r="E812" s="95"/>
      <c r="F812" s="95"/>
      <c r="G812" s="95"/>
      <c r="H812" s="95"/>
      <c r="I812" s="95"/>
      <c r="J812" s="95"/>
      <c r="K812" s="95"/>
      <c r="L812" s="95"/>
      <c r="M812" s="95"/>
      <c r="N812" s="95"/>
      <c r="O812" s="95"/>
      <c r="P812" s="95"/>
      <c r="Q812" s="95"/>
      <c r="R812" s="95"/>
      <c r="S812" s="95"/>
      <c r="T812" s="95"/>
      <c r="U812" s="95"/>
      <c r="V812" s="95"/>
      <c r="W812" s="95"/>
      <c r="X812" s="95"/>
      <c r="Y812" s="95"/>
      <c r="Z812" s="95"/>
    </row>
    <row r="813" ht="15.75" hidden="1" customHeight="1" spans="1:26">
      <c r="A813" s="95"/>
      <c r="B813" s="95"/>
      <c r="C813" s="95"/>
      <c r="D813" s="95"/>
      <c r="E813" s="95"/>
      <c r="F813" s="95"/>
      <c r="G813" s="95"/>
      <c r="H813" s="95"/>
      <c r="I813" s="95"/>
      <c r="J813" s="95"/>
      <c r="K813" s="95"/>
      <c r="L813" s="95"/>
      <c r="M813" s="95"/>
      <c r="N813" s="95"/>
      <c r="O813" s="95"/>
      <c r="P813" s="95"/>
      <c r="Q813" s="95"/>
      <c r="R813" s="95"/>
      <c r="S813" s="95"/>
      <c r="T813" s="95"/>
      <c r="U813" s="95"/>
      <c r="V813" s="95"/>
      <c r="W813" s="95"/>
      <c r="X813" s="95"/>
      <c r="Y813" s="95"/>
      <c r="Z813" s="95"/>
    </row>
    <row r="814" ht="15.75" hidden="1" customHeight="1" spans="1:26">
      <c r="A814" s="95"/>
      <c r="B814" s="95"/>
      <c r="C814" s="95"/>
      <c r="D814" s="95"/>
      <c r="E814" s="95"/>
      <c r="F814" s="95"/>
      <c r="G814" s="95"/>
      <c r="H814" s="95"/>
      <c r="I814" s="95"/>
      <c r="J814" s="95"/>
      <c r="K814" s="95"/>
      <c r="L814" s="95"/>
      <c r="M814" s="95"/>
      <c r="N814" s="95"/>
      <c r="O814" s="95"/>
      <c r="P814" s="95"/>
      <c r="Q814" s="95"/>
      <c r="R814" s="95"/>
      <c r="S814" s="95"/>
      <c r="T814" s="95"/>
      <c r="U814" s="95"/>
      <c r="V814" s="95"/>
      <c r="W814" s="95"/>
      <c r="X814" s="95"/>
      <c r="Y814" s="95"/>
      <c r="Z814" s="95"/>
    </row>
    <row r="815" ht="15.75" hidden="1" customHeight="1" spans="1:26">
      <c r="A815" s="95"/>
      <c r="B815" s="95"/>
      <c r="C815" s="95"/>
      <c r="D815" s="95"/>
      <c r="E815" s="95"/>
      <c r="F815" s="95"/>
      <c r="G815" s="95"/>
      <c r="H815" s="95"/>
      <c r="I815" s="95"/>
      <c r="J815" s="95"/>
      <c r="K815" s="95"/>
      <c r="L815" s="95"/>
      <c r="M815" s="95"/>
      <c r="N815" s="95"/>
      <c r="O815" s="95"/>
      <c r="P815" s="95"/>
      <c r="Q815" s="95"/>
      <c r="R815" s="95"/>
      <c r="S815" s="95"/>
      <c r="T815" s="95"/>
      <c r="U815" s="95"/>
      <c r="V815" s="95"/>
      <c r="W815" s="95"/>
      <c r="X815" s="95"/>
      <c r="Y815" s="95"/>
      <c r="Z815" s="95"/>
    </row>
    <row r="816" ht="15.75" hidden="1" customHeight="1" spans="1:26">
      <c r="A816" s="95"/>
      <c r="B816" s="95"/>
      <c r="C816" s="95"/>
      <c r="D816" s="95"/>
      <c r="E816" s="95"/>
      <c r="F816" s="95"/>
      <c r="G816" s="95"/>
      <c r="H816" s="95"/>
      <c r="I816" s="95"/>
      <c r="J816" s="95"/>
      <c r="K816" s="95"/>
      <c r="L816" s="95"/>
      <c r="M816" s="95"/>
      <c r="N816" s="95"/>
      <c r="O816" s="95"/>
      <c r="P816" s="95"/>
      <c r="Q816" s="95"/>
      <c r="R816" s="95"/>
      <c r="S816" s="95"/>
      <c r="T816" s="95"/>
      <c r="U816" s="95"/>
      <c r="V816" s="95"/>
      <c r="W816" s="95"/>
      <c r="X816" s="95"/>
      <c r="Y816" s="95"/>
      <c r="Z816" s="95"/>
    </row>
    <row r="817" ht="15.75" hidden="1" customHeight="1" spans="1:26">
      <c r="A817" s="95"/>
      <c r="B817" s="95"/>
      <c r="C817" s="95"/>
      <c r="D817" s="95"/>
      <c r="E817" s="95"/>
      <c r="F817" s="95"/>
      <c r="G817" s="95"/>
      <c r="H817" s="95"/>
      <c r="I817" s="95"/>
      <c r="J817" s="95"/>
      <c r="K817" s="95"/>
      <c r="L817" s="95"/>
      <c r="M817" s="95"/>
      <c r="N817" s="95"/>
      <c r="O817" s="95"/>
      <c r="P817" s="95"/>
      <c r="Q817" s="95"/>
      <c r="R817" s="95"/>
      <c r="S817" s="95"/>
      <c r="T817" s="95"/>
      <c r="U817" s="95"/>
      <c r="V817" s="95"/>
      <c r="W817" s="95"/>
      <c r="X817" s="95"/>
      <c r="Y817" s="95"/>
      <c r="Z817" s="95"/>
    </row>
    <row r="818" ht="15.75" hidden="1" customHeight="1" spans="1:26">
      <c r="A818" s="95"/>
      <c r="B818" s="95"/>
      <c r="C818" s="95"/>
      <c r="D818" s="95"/>
      <c r="E818" s="95"/>
      <c r="F818" s="95"/>
      <c r="G818" s="95"/>
      <c r="H818" s="95"/>
      <c r="I818" s="95"/>
      <c r="J818" s="95"/>
      <c r="K818" s="95"/>
      <c r="L818" s="95"/>
      <c r="M818" s="95"/>
      <c r="N818" s="95"/>
      <c r="O818" s="95"/>
      <c r="P818" s="95"/>
      <c r="Q818" s="95"/>
      <c r="R818" s="95"/>
      <c r="S818" s="95"/>
      <c r="T818" s="95"/>
      <c r="U818" s="95"/>
      <c r="V818" s="95"/>
      <c r="W818" s="95"/>
      <c r="X818" s="95"/>
      <c r="Y818" s="95"/>
      <c r="Z818" s="95"/>
    </row>
    <row r="819" ht="15.75" hidden="1" customHeight="1" spans="1:26">
      <c r="A819" s="95"/>
      <c r="B819" s="95"/>
      <c r="C819" s="95"/>
      <c r="D819" s="95"/>
      <c r="E819" s="95"/>
      <c r="F819" s="95"/>
      <c r="G819" s="95"/>
      <c r="H819" s="95"/>
      <c r="I819" s="95"/>
      <c r="J819" s="95"/>
      <c r="K819" s="95"/>
      <c r="L819" s="95"/>
      <c r="M819" s="95"/>
      <c r="N819" s="95"/>
      <c r="O819" s="95"/>
      <c r="P819" s="95"/>
      <c r="Q819" s="95"/>
      <c r="R819" s="95"/>
      <c r="S819" s="95"/>
      <c r="T819" s="95"/>
      <c r="U819" s="95"/>
      <c r="V819" s="95"/>
      <c r="W819" s="95"/>
      <c r="X819" s="95"/>
      <c r="Y819" s="95"/>
      <c r="Z819" s="95"/>
    </row>
    <row r="820" ht="15.75" hidden="1" customHeight="1" spans="1:26">
      <c r="A820" s="95"/>
      <c r="B820" s="95"/>
      <c r="C820" s="95"/>
      <c r="D820" s="95"/>
      <c r="E820" s="95"/>
      <c r="F820" s="95"/>
      <c r="G820" s="95"/>
      <c r="H820" s="95"/>
      <c r="I820" s="95"/>
      <c r="J820" s="95"/>
      <c r="K820" s="95"/>
      <c r="L820" s="95"/>
      <c r="M820" s="95"/>
      <c r="N820" s="95"/>
      <c r="O820" s="95"/>
      <c r="P820" s="95"/>
      <c r="Q820" s="95"/>
      <c r="R820" s="95"/>
      <c r="S820" s="95"/>
      <c r="T820" s="95"/>
      <c r="U820" s="95"/>
      <c r="V820" s="95"/>
      <c r="W820" s="95"/>
      <c r="X820" s="95"/>
      <c r="Y820" s="95"/>
      <c r="Z820" s="95"/>
    </row>
    <row r="821" ht="15.75" hidden="1" customHeight="1" spans="1:26">
      <c r="A821" s="95"/>
      <c r="B821" s="95"/>
      <c r="C821" s="95"/>
      <c r="D821" s="95"/>
      <c r="E821" s="95"/>
      <c r="F821" s="95"/>
      <c r="G821" s="95"/>
      <c r="H821" s="95"/>
      <c r="I821" s="95"/>
      <c r="J821" s="95"/>
      <c r="K821" s="95"/>
      <c r="L821" s="95"/>
      <c r="M821" s="95"/>
      <c r="N821" s="95"/>
      <c r="O821" s="95"/>
      <c r="P821" s="95"/>
      <c r="Q821" s="95"/>
      <c r="R821" s="95"/>
      <c r="S821" s="95"/>
      <c r="T821" s="95"/>
      <c r="U821" s="95"/>
      <c r="V821" s="95"/>
      <c r="W821" s="95"/>
      <c r="X821" s="95"/>
      <c r="Y821" s="95"/>
      <c r="Z821" s="95"/>
    </row>
    <row r="822" ht="15.75" hidden="1" customHeight="1" spans="1:26">
      <c r="A822" s="95"/>
      <c r="B822" s="95"/>
      <c r="C822" s="95"/>
      <c r="D822" s="95"/>
      <c r="E822" s="95"/>
      <c r="F822" s="95"/>
      <c r="G822" s="95"/>
      <c r="H822" s="95"/>
      <c r="I822" s="95"/>
      <c r="J822" s="95"/>
      <c r="K822" s="95"/>
      <c r="L822" s="95"/>
      <c r="M822" s="95"/>
      <c r="N822" s="95"/>
      <c r="O822" s="95"/>
      <c r="P822" s="95"/>
      <c r="Q822" s="95"/>
      <c r="R822" s="95"/>
      <c r="S822" s="95"/>
      <c r="T822" s="95"/>
      <c r="U822" s="95"/>
      <c r="V822" s="95"/>
      <c r="W822" s="95"/>
      <c r="X822" s="95"/>
      <c r="Y822" s="95"/>
      <c r="Z822" s="95"/>
    </row>
    <row r="823" ht="15.75" hidden="1" customHeight="1" spans="1:26">
      <c r="A823" s="95"/>
      <c r="B823" s="95"/>
      <c r="C823" s="95"/>
      <c r="D823" s="95"/>
      <c r="E823" s="95"/>
      <c r="F823" s="95"/>
      <c r="G823" s="95"/>
      <c r="H823" s="95"/>
      <c r="I823" s="95"/>
      <c r="J823" s="95"/>
      <c r="K823" s="95"/>
      <c r="L823" s="95"/>
      <c r="M823" s="95"/>
      <c r="N823" s="95"/>
      <c r="O823" s="95"/>
      <c r="P823" s="95"/>
      <c r="Q823" s="95"/>
      <c r="R823" s="95"/>
      <c r="S823" s="95"/>
      <c r="T823" s="95"/>
      <c r="U823" s="95"/>
      <c r="V823" s="95"/>
      <c r="W823" s="95"/>
      <c r="X823" s="95"/>
      <c r="Y823" s="95"/>
      <c r="Z823" s="95"/>
    </row>
    <row r="824" ht="15.75" hidden="1" customHeight="1" spans="1:26">
      <c r="A824" s="95"/>
      <c r="B824" s="95"/>
      <c r="C824" s="95"/>
      <c r="D824" s="95"/>
      <c r="E824" s="95"/>
      <c r="F824" s="95"/>
      <c r="G824" s="95"/>
      <c r="H824" s="95"/>
      <c r="I824" s="95"/>
      <c r="J824" s="95"/>
      <c r="K824" s="95"/>
      <c r="L824" s="95"/>
      <c r="M824" s="95"/>
      <c r="N824" s="95"/>
      <c r="O824" s="95"/>
      <c r="P824" s="95"/>
      <c r="Q824" s="95"/>
      <c r="R824" s="95"/>
      <c r="S824" s="95"/>
      <c r="T824" s="95"/>
      <c r="U824" s="95"/>
      <c r="V824" s="95"/>
      <c r="W824" s="95"/>
      <c r="X824" s="95"/>
      <c r="Y824" s="95"/>
      <c r="Z824" s="95"/>
    </row>
    <row r="825" ht="15.75" hidden="1" customHeight="1" spans="1:26">
      <c r="A825" s="95"/>
      <c r="B825" s="95"/>
      <c r="C825" s="95"/>
      <c r="D825" s="95"/>
      <c r="E825" s="95"/>
      <c r="F825" s="95"/>
      <c r="G825" s="95"/>
      <c r="H825" s="95"/>
      <c r="I825" s="95"/>
      <c r="J825" s="95"/>
      <c r="K825" s="95"/>
      <c r="L825" s="95"/>
      <c r="M825" s="95"/>
      <c r="N825" s="95"/>
      <c r="O825" s="95"/>
      <c r="P825" s="95"/>
      <c r="Q825" s="95"/>
      <c r="R825" s="95"/>
      <c r="S825" s="95"/>
      <c r="T825" s="95"/>
      <c r="U825" s="95"/>
      <c r="V825" s="95"/>
      <c r="W825" s="95"/>
      <c r="X825" s="95"/>
      <c r="Y825" s="95"/>
      <c r="Z825" s="95"/>
    </row>
    <row r="826" ht="15.75" hidden="1" customHeight="1" spans="1:26">
      <c r="A826" s="95"/>
      <c r="B826" s="95"/>
      <c r="C826" s="95"/>
      <c r="D826" s="95"/>
      <c r="E826" s="95"/>
      <c r="F826" s="95"/>
      <c r="G826" s="95"/>
      <c r="H826" s="95"/>
      <c r="I826" s="95"/>
      <c r="J826" s="95"/>
      <c r="K826" s="95"/>
      <c r="L826" s="95"/>
      <c r="M826" s="95"/>
      <c r="N826" s="95"/>
      <c r="O826" s="95"/>
      <c r="P826" s="95"/>
      <c r="Q826" s="95"/>
      <c r="R826" s="95"/>
      <c r="S826" s="95"/>
      <c r="T826" s="95"/>
      <c r="U826" s="95"/>
      <c r="V826" s="95"/>
      <c r="W826" s="95"/>
      <c r="X826" s="95"/>
      <c r="Y826" s="95"/>
      <c r="Z826" s="95"/>
    </row>
    <row r="827" ht="15.75" hidden="1" customHeight="1" spans="1:26">
      <c r="A827" s="95"/>
      <c r="B827" s="95"/>
      <c r="C827" s="95"/>
      <c r="D827" s="95"/>
      <c r="E827" s="95"/>
      <c r="F827" s="95"/>
      <c r="G827" s="95"/>
      <c r="H827" s="95"/>
      <c r="I827" s="95"/>
      <c r="J827" s="95"/>
      <c r="K827" s="95"/>
      <c r="L827" s="95"/>
      <c r="M827" s="95"/>
      <c r="N827" s="95"/>
      <c r="O827" s="95"/>
      <c r="P827" s="95"/>
      <c r="Q827" s="95"/>
      <c r="R827" s="95"/>
      <c r="S827" s="95"/>
      <c r="T827" s="95"/>
      <c r="U827" s="95"/>
      <c r="V827" s="95"/>
      <c r="W827" s="95"/>
      <c r="X827" s="95"/>
      <c r="Y827" s="95"/>
      <c r="Z827" s="95"/>
    </row>
    <row r="828" ht="15.75" hidden="1" customHeight="1" spans="1:26">
      <c r="A828" s="95"/>
      <c r="B828" s="95"/>
      <c r="C828" s="95"/>
      <c r="D828" s="95"/>
      <c r="E828" s="95"/>
      <c r="F828" s="95"/>
      <c r="G828" s="95"/>
      <c r="H828" s="95"/>
      <c r="I828" s="95"/>
      <c r="J828" s="95"/>
      <c r="K828" s="95"/>
      <c r="L828" s="95"/>
      <c r="M828" s="95"/>
      <c r="N828" s="95"/>
      <c r="O828" s="95"/>
      <c r="P828" s="95"/>
      <c r="Q828" s="95"/>
      <c r="R828" s="95"/>
      <c r="S828" s="95"/>
      <c r="T828" s="95"/>
      <c r="U828" s="95"/>
      <c r="V828" s="95"/>
      <c r="W828" s="95"/>
      <c r="X828" s="95"/>
      <c r="Y828" s="95"/>
      <c r="Z828" s="95"/>
    </row>
    <row r="829" ht="15.75" hidden="1" customHeight="1" spans="1:26">
      <c r="A829" s="95"/>
      <c r="B829" s="95"/>
      <c r="C829" s="95"/>
      <c r="D829" s="95"/>
      <c r="E829" s="95"/>
      <c r="F829" s="95"/>
      <c r="G829" s="95"/>
      <c r="H829" s="95"/>
      <c r="I829" s="95"/>
      <c r="J829" s="95"/>
      <c r="K829" s="95"/>
      <c r="L829" s="95"/>
      <c r="M829" s="95"/>
      <c r="N829" s="95"/>
      <c r="O829" s="95"/>
      <c r="P829" s="95"/>
      <c r="Q829" s="95"/>
      <c r="R829" s="95"/>
      <c r="S829" s="95"/>
      <c r="T829" s="95"/>
      <c r="U829" s="95"/>
      <c r="V829" s="95"/>
      <c r="W829" s="95"/>
      <c r="X829" s="95"/>
      <c r="Y829" s="95"/>
      <c r="Z829" s="95"/>
    </row>
    <row r="830" ht="15.75" hidden="1" customHeight="1" spans="1:26">
      <c r="A830" s="95"/>
      <c r="B830" s="95"/>
      <c r="C830" s="95"/>
      <c r="D830" s="95"/>
      <c r="E830" s="95"/>
      <c r="F830" s="95"/>
      <c r="G830" s="95"/>
      <c r="H830" s="95"/>
      <c r="I830" s="95"/>
      <c r="J830" s="95"/>
      <c r="K830" s="95"/>
      <c r="L830" s="95"/>
      <c r="M830" s="95"/>
      <c r="N830" s="95"/>
      <c r="O830" s="95"/>
      <c r="P830" s="95"/>
      <c r="Q830" s="95"/>
      <c r="R830" s="95"/>
      <c r="S830" s="95"/>
      <c r="T830" s="95"/>
      <c r="U830" s="95"/>
      <c r="V830" s="95"/>
      <c r="W830" s="95"/>
      <c r="X830" s="95"/>
      <c r="Y830" s="95"/>
      <c r="Z830" s="95"/>
    </row>
    <row r="831" ht="15.75" hidden="1" customHeight="1" spans="1:26">
      <c r="A831" s="95"/>
      <c r="B831" s="95"/>
      <c r="C831" s="95"/>
      <c r="D831" s="95"/>
      <c r="E831" s="95"/>
      <c r="F831" s="95"/>
      <c r="G831" s="95"/>
      <c r="H831" s="95"/>
      <c r="I831" s="95"/>
      <c r="J831" s="95"/>
      <c r="K831" s="95"/>
      <c r="L831" s="95"/>
      <c r="M831" s="95"/>
      <c r="N831" s="95"/>
      <c r="O831" s="95"/>
      <c r="P831" s="95"/>
      <c r="Q831" s="95"/>
      <c r="R831" s="95"/>
      <c r="S831" s="95"/>
      <c r="T831" s="95"/>
      <c r="U831" s="95"/>
      <c r="V831" s="95"/>
      <c r="W831" s="95"/>
      <c r="X831" s="95"/>
      <c r="Y831" s="95"/>
      <c r="Z831" s="95"/>
    </row>
    <row r="832" ht="15.75" hidden="1" customHeight="1" spans="1:26">
      <c r="A832" s="95"/>
      <c r="B832" s="95"/>
      <c r="C832" s="95"/>
      <c r="D832" s="95"/>
      <c r="E832" s="95"/>
      <c r="F832" s="95"/>
      <c r="G832" s="95"/>
      <c r="H832" s="95"/>
      <c r="I832" s="95"/>
      <c r="J832" s="95"/>
      <c r="K832" s="95"/>
      <c r="L832" s="95"/>
      <c r="M832" s="95"/>
      <c r="N832" s="95"/>
      <c r="O832" s="95"/>
      <c r="P832" s="95"/>
      <c r="Q832" s="95"/>
      <c r="R832" s="95"/>
      <c r="S832" s="95"/>
      <c r="T832" s="95"/>
      <c r="U832" s="95"/>
      <c r="V832" s="95"/>
      <c r="W832" s="95"/>
      <c r="X832" s="95"/>
      <c r="Y832" s="95"/>
      <c r="Z832" s="95"/>
    </row>
    <row r="833" ht="15.75" hidden="1" customHeight="1" spans="1:26">
      <c r="A833" s="95"/>
      <c r="B833" s="95"/>
      <c r="C833" s="95"/>
      <c r="D833" s="95"/>
      <c r="E833" s="95"/>
      <c r="F833" s="95"/>
      <c r="G833" s="95"/>
      <c r="H833" s="95"/>
      <c r="I833" s="95"/>
      <c r="J833" s="95"/>
      <c r="K833" s="95"/>
      <c r="L833" s="95"/>
      <c r="M833" s="95"/>
      <c r="N833" s="95"/>
      <c r="O833" s="95"/>
      <c r="P833" s="95"/>
      <c r="Q833" s="95"/>
      <c r="R833" s="95"/>
      <c r="S833" s="95"/>
      <c r="T833" s="95"/>
      <c r="U833" s="95"/>
      <c r="V833" s="95"/>
      <c r="W833" s="95"/>
      <c r="X833" s="95"/>
      <c r="Y833" s="95"/>
      <c r="Z833" s="95"/>
    </row>
    <row r="834" ht="15.75" hidden="1" customHeight="1" spans="1:26">
      <c r="A834" s="95"/>
      <c r="B834" s="95"/>
      <c r="C834" s="95"/>
      <c r="D834" s="95"/>
      <c r="E834" s="95"/>
      <c r="F834" s="95"/>
      <c r="G834" s="95"/>
      <c r="H834" s="95"/>
      <c r="I834" s="95"/>
      <c r="J834" s="95"/>
      <c r="K834" s="95"/>
      <c r="L834" s="95"/>
      <c r="M834" s="95"/>
      <c r="N834" s="95"/>
      <c r="O834" s="95"/>
      <c r="P834" s="95"/>
      <c r="Q834" s="95"/>
      <c r="R834" s="95"/>
      <c r="S834" s="95"/>
      <c r="T834" s="95"/>
      <c r="U834" s="95"/>
      <c r="V834" s="95"/>
      <c r="W834" s="95"/>
      <c r="X834" s="95"/>
      <c r="Y834" s="95"/>
      <c r="Z834" s="95"/>
    </row>
    <row r="835" ht="15.75" hidden="1" customHeight="1" spans="1:26">
      <c r="A835" s="95"/>
      <c r="B835" s="95"/>
      <c r="C835" s="95"/>
      <c r="D835" s="95"/>
      <c r="E835" s="95"/>
      <c r="F835" s="95"/>
      <c r="G835" s="95"/>
      <c r="H835" s="95"/>
      <c r="I835" s="95"/>
      <c r="J835" s="95"/>
      <c r="K835" s="95"/>
      <c r="L835" s="95"/>
      <c r="M835" s="95"/>
      <c r="N835" s="95"/>
      <c r="O835" s="95"/>
      <c r="P835" s="95"/>
      <c r="Q835" s="95"/>
      <c r="R835" s="95"/>
      <c r="S835" s="95"/>
      <c r="T835" s="95"/>
      <c r="U835" s="95"/>
      <c r="V835" s="95"/>
      <c r="W835" s="95"/>
      <c r="X835" s="95"/>
      <c r="Y835" s="95"/>
      <c r="Z835" s="95"/>
    </row>
    <row r="836" ht="15.75" hidden="1" customHeight="1" spans="1:26">
      <c r="A836" s="95"/>
      <c r="B836" s="95"/>
      <c r="C836" s="95"/>
      <c r="D836" s="95"/>
      <c r="E836" s="95"/>
      <c r="F836" s="95"/>
      <c r="G836" s="95"/>
      <c r="H836" s="95"/>
      <c r="I836" s="95"/>
      <c r="J836" s="95"/>
      <c r="K836" s="95"/>
      <c r="L836" s="95"/>
      <c r="M836" s="95"/>
      <c r="N836" s="95"/>
      <c r="O836" s="95"/>
      <c r="P836" s="95"/>
      <c r="Q836" s="95"/>
      <c r="R836" s="95"/>
      <c r="S836" s="95"/>
      <c r="T836" s="95"/>
      <c r="U836" s="95"/>
      <c r="V836" s="95"/>
      <c r="W836" s="95"/>
      <c r="X836" s="95"/>
      <c r="Y836" s="95"/>
      <c r="Z836" s="95"/>
    </row>
    <row r="837" ht="15.75" hidden="1" customHeight="1" spans="1:26">
      <c r="A837" s="95"/>
      <c r="B837" s="95"/>
      <c r="C837" s="95"/>
      <c r="D837" s="95"/>
      <c r="E837" s="95"/>
      <c r="F837" s="95"/>
      <c r="G837" s="95"/>
      <c r="H837" s="95"/>
      <c r="I837" s="95"/>
      <c r="J837" s="95"/>
      <c r="K837" s="95"/>
      <c r="L837" s="95"/>
      <c r="M837" s="95"/>
      <c r="N837" s="95"/>
      <c r="O837" s="95"/>
      <c r="P837" s="95"/>
      <c r="Q837" s="95"/>
      <c r="R837" s="95"/>
      <c r="S837" s="95"/>
      <c r="T837" s="95"/>
      <c r="U837" s="95"/>
      <c r="V837" s="95"/>
      <c r="W837" s="95"/>
      <c r="X837" s="95"/>
      <c r="Y837" s="95"/>
      <c r="Z837" s="95"/>
    </row>
    <row r="838" ht="15.75" hidden="1" customHeight="1" spans="1:26">
      <c r="A838" s="95"/>
      <c r="B838" s="95"/>
      <c r="C838" s="95"/>
      <c r="D838" s="95"/>
      <c r="E838" s="95"/>
      <c r="F838" s="95"/>
      <c r="G838" s="95"/>
      <c r="H838" s="95"/>
      <c r="I838" s="95"/>
      <c r="J838" s="95"/>
      <c r="K838" s="95"/>
      <c r="L838" s="95"/>
      <c r="M838" s="95"/>
      <c r="N838" s="95"/>
      <c r="O838" s="95"/>
      <c r="P838" s="95"/>
      <c r="Q838" s="95"/>
      <c r="R838" s="95"/>
      <c r="S838" s="95"/>
      <c r="T838" s="95"/>
      <c r="U838" s="95"/>
      <c r="V838" s="95"/>
      <c r="W838" s="95"/>
      <c r="X838" s="95"/>
      <c r="Y838" s="95"/>
      <c r="Z838" s="95"/>
    </row>
    <row r="839" ht="15.75" hidden="1" customHeight="1" spans="1:26">
      <c r="A839" s="95"/>
      <c r="B839" s="95"/>
      <c r="C839" s="95"/>
      <c r="D839" s="95"/>
      <c r="E839" s="95"/>
      <c r="F839" s="95"/>
      <c r="G839" s="95"/>
      <c r="H839" s="95"/>
      <c r="I839" s="95"/>
      <c r="J839" s="95"/>
      <c r="K839" s="95"/>
      <c r="L839" s="95"/>
      <c r="M839" s="95"/>
      <c r="N839" s="95"/>
      <c r="O839" s="95"/>
      <c r="P839" s="95"/>
      <c r="Q839" s="95"/>
      <c r="R839" s="95"/>
      <c r="S839" s="95"/>
      <c r="T839" s="95"/>
      <c r="U839" s="95"/>
      <c r="V839" s="95"/>
      <c r="W839" s="95"/>
      <c r="X839" s="95"/>
      <c r="Y839" s="95"/>
      <c r="Z839" s="95"/>
    </row>
    <row r="840" ht="15.75" hidden="1" customHeight="1" spans="1:26">
      <c r="A840" s="95"/>
      <c r="B840" s="95"/>
      <c r="C840" s="95"/>
      <c r="D840" s="95"/>
      <c r="E840" s="95"/>
      <c r="F840" s="95"/>
      <c r="G840" s="95"/>
      <c r="H840" s="95"/>
      <c r="I840" s="95"/>
      <c r="J840" s="95"/>
      <c r="K840" s="95"/>
      <c r="L840" s="95"/>
      <c r="M840" s="95"/>
      <c r="N840" s="95"/>
      <c r="O840" s="95"/>
      <c r="P840" s="95"/>
      <c r="Q840" s="95"/>
      <c r="R840" s="95"/>
      <c r="S840" s="95"/>
      <c r="T840" s="95"/>
      <c r="U840" s="95"/>
      <c r="V840" s="95"/>
      <c r="W840" s="95"/>
      <c r="X840" s="95"/>
      <c r="Y840" s="95"/>
      <c r="Z840" s="95"/>
    </row>
    <row r="841" ht="15.75" hidden="1" customHeight="1" spans="1:26">
      <c r="A841" s="95"/>
      <c r="B841" s="95"/>
      <c r="C841" s="95"/>
      <c r="D841" s="95"/>
      <c r="E841" s="95"/>
      <c r="F841" s="95"/>
      <c r="G841" s="95"/>
      <c r="H841" s="95"/>
      <c r="I841" s="95"/>
      <c r="J841" s="95"/>
      <c r="K841" s="95"/>
      <c r="L841" s="95"/>
      <c r="M841" s="95"/>
      <c r="N841" s="95"/>
      <c r="O841" s="95"/>
      <c r="P841" s="95"/>
      <c r="Q841" s="95"/>
      <c r="R841" s="95"/>
      <c r="S841" s="95"/>
      <c r="T841" s="95"/>
      <c r="U841" s="95"/>
      <c r="V841" s="95"/>
      <c r="W841" s="95"/>
      <c r="X841" s="95"/>
      <c r="Y841" s="95"/>
      <c r="Z841" s="95"/>
    </row>
    <row r="842" ht="15.75" hidden="1" customHeight="1" spans="1:26">
      <c r="A842" s="95"/>
      <c r="B842" s="95"/>
      <c r="C842" s="95"/>
      <c r="D842" s="95"/>
      <c r="E842" s="95"/>
      <c r="F842" s="95"/>
      <c r="G842" s="95"/>
      <c r="H842" s="95"/>
      <c r="I842" s="95"/>
      <c r="J842" s="95"/>
      <c r="K842" s="95"/>
      <c r="L842" s="95"/>
      <c r="M842" s="95"/>
      <c r="N842" s="95"/>
      <c r="O842" s="95"/>
      <c r="P842" s="95"/>
      <c r="Q842" s="95"/>
      <c r="R842" s="95"/>
      <c r="S842" s="95"/>
      <c r="T842" s="95"/>
      <c r="U842" s="95"/>
      <c r="V842" s="95"/>
      <c r="W842" s="95"/>
      <c r="X842" s="95"/>
      <c r="Y842" s="95"/>
      <c r="Z842" s="95"/>
    </row>
    <row r="843" ht="15.75" hidden="1" customHeight="1" spans="1:26">
      <c r="A843" s="95"/>
      <c r="B843" s="95"/>
      <c r="C843" s="95"/>
      <c r="D843" s="95"/>
      <c r="E843" s="95"/>
      <c r="F843" s="95"/>
      <c r="G843" s="95"/>
      <c r="H843" s="95"/>
      <c r="I843" s="95"/>
      <c r="J843" s="95"/>
      <c r="K843" s="95"/>
      <c r="L843" s="95"/>
      <c r="M843" s="95"/>
      <c r="N843" s="95"/>
      <c r="O843" s="95"/>
      <c r="P843" s="95"/>
      <c r="Q843" s="95"/>
      <c r="R843" s="95"/>
      <c r="S843" s="95"/>
      <c r="T843" s="95"/>
      <c r="U843" s="95"/>
      <c r="V843" s="95"/>
      <c r="W843" s="95"/>
      <c r="X843" s="95"/>
      <c r="Y843" s="95"/>
      <c r="Z843" s="95"/>
    </row>
    <row r="844" ht="15.75" hidden="1" customHeight="1" spans="1:26">
      <c r="A844" s="95"/>
      <c r="B844" s="95"/>
      <c r="C844" s="95"/>
      <c r="D844" s="95"/>
      <c r="E844" s="95"/>
      <c r="F844" s="95"/>
      <c r="G844" s="95"/>
      <c r="H844" s="95"/>
      <c r="I844" s="95"/>
      <c r="J844" s="95"/>
      <c r="K844" s="95"/>
      <c r="L844" s="95"/>
      <c r="M844" s="95"/>
      <c r="N844" s="95"/>
      <c r="O844" s="95"/>
      <c r="P844" s="95"/>
      <c r="Q844" s="95"/>
      <c r="R844" s="95"/>
      <c r="S844" s="95"/>
      <c r="T844" s="95"/>
      <c r="U844" s="95"/>
      <c r="V844" s="95"/>
      <c r="W844" s="95"/>
      <c r="X844" s="95"/>
      <c r="Y844" s="95"/>
      <c r="Z844" s="95"/>
    </row>
    <row r="845" ht="15.75" hidden="1" customHeight="1" spans="1:26">
      <c r="A845" s="95"/>
      <c r="B845" s="95"/>
      <c r="C845" s="95"/>
      <c r="D845" s="95"/>
      <c r="E845" s="95"/>
      <c r="F845" s="95"/>
      <c r="G845" s="95"/>
      <c r="H845" s="95"/>
      <c r="I845" s="95"/>
      <c r="J845" s="95"/>
      <c r="K845" s="95"/>
      <c r="L845" s="95"/>
      <c r="M845" s="95"/>
      <c r="N845" s="95"/>
      <c r="O845" s="95"/>
      <c r="P845" s="95"/>
      <c r="Q845" s="95"/>
      <c r="R845" s="95"/>
      <c r="S845" s="95"/>
      <c r="T845" s="95"/>
      <c r="U845" s="95"/>
      <c r="V845" s="95"/>
      <c r="W845" s="95"/>
      <c r="X845" s="95"/>
      <c r="Y845" s="95"/>
      <c r="Z845" s="95"/>
    </row>
    <row r="846" ht="15.75" hidden="1" customHeight="1" spans="1:26">
      <c r="A846" s="95"/>
      <c r="B846" s="95"/>
      <c r="C846" s="95"/>
      <c r="D846" s="95"/>
      <c r="E846" s="95"/>
      <c r="F846" s="95"/>
      <c r="G846" s="95"/>
      <c r="H846" s="95"/>
      <c r="I846" s="95"/>
      <c r="J846" s="95"/>
      <c r="K846" s="95"/>
      <c r="L846" s="95"/>
      <c r="M846" s="95"/>
      <c r="N846" s="95"/>
      <c r="O846" s="95"/>
      <c r="P846" s="95"/>
      <c r="Q846" s="95"/>
      <c r="R846" s="95"/>
      <c r="S846" s="95"/>
      <c r="T846" s="95"/>
      <c r="U846" s="95"/>
      <c r="V846" s="95"/>
      <c r="W846" s="95"/>
      <c r="X846" s="95"/>
      <c r="Y846" s="95"/>
      <c r="Z846" s="95"/>
    </row>
    <row r="847" ht="15.75" hidden="1" customHeight="1" spans="1:26">
      <c r="A847" s="95"/>
      <c r="B847" s="95"/>
      <c r="C847" s="95"/>
      <c r="D847" s="95"/>
      <c r="E847" s="95"/>
      <c r="F847" s="95"/>
      <c r="G847" s="95"/>
      <c r="H847" s="95"/>
      <c r="I847" s="95"/>
      <c r="J847" s="95"/>
      <c r="K847" s="95"/>
      <c r="L847" s="95"/>
      <c r="M847" s="95"/>
      <c r="N847" s="95"/>
      <c r="O847" s="95"/>
      <c r="P847" s="95"/>
      <c r="Q847" s="95"/>
      <c r="R847" s="95"/>
      <c r="S847" s="95"/>
      <c r="T847" s="95"/>
      <c r="U847" s="95"/>
      <c r="V847" s="95"/>
      <c r="W847" s="95"/>
      <c r="X847" s="95"/>
      <c r="Y847" s="95"/>
      <c r="Z847" s="95"/>
    </row>
    <row r="848" ht="15.75" hidden="1" customHeight="1" spans="1:26">
      <c r="A848" s="95"/>
      <c r="B848" s="95"/>
      <c r="C848" s="95"/>
      <c r="D848" s="95"/>
      <c r="E848" s="95"/>
      <c r="F848" s="95"/>
      <c r="G848" s="95"/>
      <c r="H848" s="95"/>
      <c r="I848" s="95"/>
      <c r="J848" s="95"/>
      <c r="K848" s="95"/>
      <c r="L848" s="95"/>
      <c r="M848" s="95"/>
      <c r="N848" s="95"/>
      <c r="O848" s="95"/>
      <c r="P848" s="95"/>
      <c r="Q848" s="95"/>
      <c r="R848" s="95"/>
      <c r="S848" s="95"/>
      <c r="T848" s="95"/>
      <c r="U848" s="95"/>
      <c r="V848" s="95"/>
      <c r="W848" s="95"/>
      <c r="X848" s="95"/>
      <c r="Y848" s="95"/>
      <c r="Z848" s="95"/>
    </row>
    <row r="849" ht="15.75" hidden="1" customHeight="1" spans="1:26">
      <c r="A849" s="95"/>
      <c r="B849" s="95"/>
      <c r="C849" s="95"/>
      <c r="D849" s="95"/>
      <c r="E849" s="95"/>
      <c r="F849" s="95"/>
      <c r="G849" s="95"/>
      <c r="H849" s="95"/>
      <c r="I849" s="95"/>
      <c r="J849" s="95"/>
      <c r="K849" s="95"/>
      <c r="L849" s="95"/>
      <c r="M849" s="95"/>
      <c r="N849" s="95"/>
      <c r="O849" s="95"/>
      <c r="P849" s="95"/>
      <c r="Q849" s="95"/>
      <c r="R849" s="95"/>
      <c r="S849" s="95"/>
      <c r="T849" s="95"/>
      <c r="U849" s="95"/>
      <c r="V849" s="95"/>
      <c r="W849" s="95"/>
      <c r="X849" s="95"/>
      <c r="Y849" s="95"/>
      <c r="Z849" s="95"/>
    </row>
    <row r="850" ht="15.75" hidden="1" customHeight="1" spans="1:26">
      <c r="A850" s="95"/>
      <c r="B850" s="95"/>
      <c r="C850" s="95"/>
      <c r="D850" s="95"/>
      <c r="E850" s="95"/>
      <c r="F850" s="95"/>
      <c r="G850" s="95"/>
      <c r="H850" s="95"/>
      <c r="I850" s="95"/>
      <c r="J850" s="95"/>
      <c r="K850" s="95"/>
      <c r="L850" s="95"/>
      <c r="M850" s="95"/>
      <c r="N850" s="95"/>
      <c r="O850" s="95"/>
      <c r="P850" s="95"/>
      <c r="Q850" s="95"/>
      <c r="R850" s="95"/>
      <c r="S850" s="95"/>
      <c r="T850" s="95"/>
      <c r="U850" s="95"/>
      <c r="V850" s="95"/>
      <c r="W850" s="95"/>
      <c r="X850" s="95"/>
      <c r="Y850" s="95"/>
      <c r="Z850" s="95"/>
    </row>
    <row r="851" ht="15.75" hidden="1" customHeight="1" spans="1:26">
      <c r="A851" s="95"/>
      <c r="B851" s="95"/>
      <c r="C851" s="95"/>
      <c r="D851" s="95"/>
      <c r="E851" s="95"/>
      <c r="F851" s="95"/>
      <c r="G851" s="95"/>
      <c r="H851" s="95"/>
      <c r="I851" s="95"/>
      <c r="J851" s="95"/>
      <c r="K851" s="95"/>
      <c r="L851" s="95"/>
      <c r="M851" s="95"/>
      <c r="N851" s="95"/>
      <c r="O851" s="95"/>
      <c r="P851" s="95"/>
      <c r="Q851" s="95"/>
      <c r="R851" s="95"/>
      <c r="S851" s="95"/>
      <c r="T851" s="95"/>
      <c r="U851" s="95"/>
      <c r="V851" s="95"/>
      <c r="W851" s="95"/>
      <c r="X851" s="95"/>
      <c r="Y851" s="95"/>
      <c r="Z851" s="95"/>
    </row>
    <row r="852" ht="15.75" hidden="1" customHeight="1" spans="1:26">
      <c r="A852" s="95"/>
      <c r="B852" s="95"/>
      <c r="C852" s="95"/>
      <c r="D852" s="95"/>
      <c r="E852" s="95"/>
      <c r="F852" s="95"/>
      <c r="G852" s="95"/>
      <c r="H852" s="95"/>
      <c r="I852" s="95"/>
      <c r="J852" s="95"/>
      <c r="K852" s="95"/>
      <c r="L852" s="95"/>
      <c r="M852" s="95"/>
      <c r="N852" s="95"/>
      <c r="O852" s="95"/>
      <c r="P852" s="95"/>
      <c r="Q852" s="95"/>
      <c r="R852" s="95"/>
      <c r="S852" s="95"/>
      <c r="T852" s="95"/>
      <c r="U852" s="95"/>
      <c r="V852" s="95"/>
      <c r="W852" s="95"/>
      <c r="X852" s="95"/>
      <c r="Y852" s="95"/>
      <c r="Z852" s="95"/>
    </row>
    <row r="853" ht="15.75" hidden="1" customHeight="1" spans="1:26">
      <c r="A853" s="95"/>
      <c r="B853" s="95"/>
      <c r="C853" s="95"/>
      <c r="D853" s="95"/>
      <c r="E853" s="95"/>
      <c r="F853" s="95"/>
      <c r="G853" s="95"/>
      <c r="H853" s="95"/>
      <c r="I853" s="95"/>
      <c r="J853" s="95"/>
      <c r="K853" s="95"/>
      <c r="L853" s="95"/>
      <c r="M853" s="95"/>
      <c r="N853" s="95"/>
      <c r="O853" s="95"/>
      <c r="P853" s="95"/>
      <c r="Q853" s="95"/>
      <c r="R853" s="95"/>
      <c r="S853" s="95"/>
      <c r="T853" s="95"/>
      <c r="U853" s="95"/>
      <c r="V853" s="95"/>
      <c r="W853" s="95"/>
      <c r="X853" s="95"/>
      <c r="Y853" s="95"/>
      <c r="Z853" s="95"/>
    </row>
    <row r="854" ht="15.75" hidden="1" customHeight="1" spans="1:26">
      <c r="A854" s="95"/>
      <c r="B854" s="95"/>
      <c r="C854" s="95"/>
      <c r="D854" s="95"/>
      <c r="E854" s="95"/>
      <c r="F854" s="95"/>
      <c r="G854" s="95"/>
      <c r="H854" s="95"/>
      <c r="I854" s="95"/>
      <c r="J854" s="95"/>
      <c r="K854" s="95"/>
      <c r="L854" s="95"/>
      <c r="M854" s="95"/>
      <c r="N854" s="95"/>
      <c r="O854" s="95"/>
      <c r="P854" s="95"/>
      <c r="Q854" s="95"/>
      <c r="R854" s="95"/>
      <c r="S854" s="95"/>
      <c r="T854" s="95"/>
      <c r="U854" s="95"/>
      <c r="V854" s="95"/>
      <c r="W854" s="95"/>
      <c r="X854" s="95"/>
      <c r="Y854" s="95"/>
      <c r="Z854" s="95"/>
    </row>
    <row r="855" ht="15.75" hidden="1" customHeight="1" spans="1:26">
      <c r="A855" s="95"/>
      <c r="B855" s="95"/>
      <c r="C855" s="95"/>
      <c r="D855" s="95"/>
      <c r="E855" s="95"/>
      <c r="F855" s="95"/>
      <c r="G855" s="95"/>
      <c r="H855" s="95"/>
      <c r="I855" s="95"/>
      <c r="J855" s="95"/>
      <c r="K855" s="95"/>
      <c r="L855" s="95"/>
      <c r="M855" s="95"/>
      <c r="N855" s="95"/>
      <c r="O855" s="95"/>
      <c r="P855" s="95"/>
      <c r="Q855" s="95"/>
      <c r="R855" s="95"/>
      <c r="S855" s="95"/>
      <c r="T855" s="95"/>
      <c r="U855" s="95"/>
      <c r="V855" s="95"/>
      <c r="W855" s="95"/>
      <c r="X855" s="95"/>
      <c r="Y855" s="95"/>
      <c r="Z855" s="95"/>
    </row>
    <row r="856" ht="15.75" hidden="1" customHeight="1" spans="1:26">
      <c r="A856" s="95"/>
      <c r="B856" s="95"/>
      <c r="C856" s="95"/>
      <c r="D856" s="95"/>
      <c r="E856" s="95"/>
      <c r="F856" s="95"/>
      <c r="G856" s="95"/>
      <c r="H856" s="95"/>
      <c r="I856" s="95"/>
      <c r="J856" s="95"/>
      <c r="K856" s="95"/>
      <c r="L856" s="95"/>
      <c r="M856" s="95"/>
      <c r="N856" s="95"/>
      <c r="O856" s="95"/>
      <c r="P856" s="95"/>
      <c r="Q856" s="95"/>
      <c r="R856" s="95"/>
      <c r="S856" s="95"/>
      <c r="T856" s="95"/>
      <c r="U856" s="95"/>
      <c r="V856" s="95"/>
      <c r="W856" s="95"/>
      <c r="X856" s="95"/>
      <c r="Y856" s="95"/>
      <c r="Z856" s="95"/>
    </row>
    <row r="857" ht="15.75" hidden="1" customHeight="1" spans="1:26">
      <c r="A857" s="95"/>
      <c r="B857" s="95"/>
      <c r="C857" s="95"/>
      <c r="D857" s="95"/>
      <c r="E857" s="95"/>
      <c r="F857" s="95"/>
      <c r="G857" s="95"/>
      <c r="H857" s="95"/>
      <c r="I857" s="95"/>
      <c r="J857" s="95"/>
      <c r="K857" s="95"/>
      <c r="L857" s="95"/>
      <c r="M857" s="95"/>
      <c r="N857" s="95"/>
      <c r="O857" s="95"/>
      <c r="P857" s="95"/>
      <c r="Q857" s="95"/>
      <c r="R857" s="95"/>
      <c r="S857" s="95"/>
      <c r="T857" s="95"/>
      <c r="U857" s="95"/>
      <c r="V857" s="95"/>
      <c r="W857" s="95"/>
      <c r="X857" s="95"/>
      <c r="Y857" s="95"/>
      <c r="Z857" s="95"/>
    </row>
    <row r="858" ht="15.75" hidden="1" customHeight="1" spans="1:26">
      <c r="A858" s="95"/>
      <c r="B858" s="95"/>
      <c r="C858" s="95"/>
      <c r="D858" s="95"/>
      <c r="E858" s="95"/>
      <c r="F858" s="95"/>
      <c r="G858" s="95"/>
      <c r="H858" s="95"/>
      <c r="I858" s="95"/>
      <c r="J858" s="95"/>
      <c r="K858" s="95"/>
      <c r="L858" s="95"/>
      <c r="M858" s="95"/>
      <c r="N858" s="95"/>
      <c r="O858" s="95"/>
      <c r="P858" s="95"/>
      <c r="Q858" s="95"/>
      <c r="R858" s="95"/>
      <c r="S858" s="95"/>
      <c r="T858" s="95"/>
      <c r="U858" s="95"/>
      <c r="V858" s="95"/>
      <c r="W858" s="95"/>
      <c r="X858" s="95"/>
      <c r="Y858" s="95"/>
      <c r="Z858" s="95"/>
    </row>
    <row r="859" ht="15.75" hidden="1" customHeight="1" spans="1:26">
      <c r="A859" s="95"/>
      <c r="B859" s="95"/>
      <c r="C859" s="95"/>
      <c r="D859" s="95"/>
      <c r="E859" s="95"/>
      <c r="F859" s="95"/>
      <c r="G859" s="95"/>
      <c r="H859" s="95"/>
      <c r="I859" s="95"/>
      <c r="J859" s="95"/>
      <c r="K859" s="95"/>
      <c r="L859" s="95"/>
      <c r="M859" s="95"/>
      <c r="N859" s="95"/>
      <c r="O859" s="95"/>
      <c r="P859" s="95"/>
      <c r="Q859" s="95"/>
      <c r="R859" s="95"/>
      <c r="S859" s="95"/>
      <c r="T859" s="95"/>
      <c r="U859" s="95"/>
      <c r="V859" s="95"/>
      <c r="W859" s="95"/>
      <c r="X859" s="95"/>
      <c r="Y859" s="95"/>
      <c r="Z859" s="95"/>
    </row>
    <row r="860" ht="15.75" hidden="1" customHeight="1" spans="1:26">
      <c r="A860" s="95"/>
      <c r="B860" s="95"/>
      <c r="C860" s="95"/>
      <c r="D860" s="95"/>
      <c r="E860" s="95"/>
      <c r="F860" s="95"/>
      <c r="G860" s="95"/>
      <c r="H860" s="95"/>
      <c r="I860" s="95"/>
      <c r="J860" s="95"/>
      <c r="K860" s="95"/>
      <c r="L860" s="95"/>
      <c r="M860" s="95"/>
      <c r="N860" s="95"/>
      <c r="O860" s="95"/>
      <c r="P860" s="95"/>
      <c r="Q860" s="95"/>
      <c r="R860" s="95"/>
      <c r="S860" s="95"/>
      <c r="T860" s="95"/>
      <c r="U860" s="95"/>
      <c r="V860" s="95"/>
      <c r="W860" s="95"/>
      <c r="X860" s="95"/>
      <c r="Y860" s="95"/>
      <c r="Z860" s="95"/>
    </row>
    <row r="861" ht="15.75" hidden="1" customHeight="1" spans="1:26">
      <c r="A861" s="95"/>
      <c r="B861" s="95"/>
      <c r="C861" s="95"/>
      <c r="D861" s="95"/>
      <c r="E861" s="95"/>
      <c r="F861" s="95"/>
      <c r="G861" s="95"/>
      <c r="H861" s="95"/>
      <c r="I861" s="95"/>
      <c r="J861" s="95"/>
      <c r="K861" s="95"/>
      <c r="L861" s="95"/>
      <c r="M861" s="95"/>
      <c r="N861" s="95"/>
      <c r="O861" s="95"/>
      <c r="P861" s="95"/>
      <c r="Q861" s="95"/>
      <c r="R861" s="95"/>
      <c r="S861" s="95"/>
      <c r="T861" s="95"/>
      <c r="U861" s="95"/>
      <c r="V861" s="95"/>
      <c r="W861" s="95"/>
      <c r="X861" s="95"/>
      <c r="Y861" s="95"/>
      <c r="Z861" s="95"/>
    </row>
    <row r="862" ht="15.75" hidden="1" customHeight="1" spans="1:26">
      <c r="A862" s="95"/>
      <c r="B862" s="95"/>
      <c r="C862" s="95"/>
      <c r="D862" s="95"/>
      <c r="E862" s="95"/>
      <c r="F862" s="95"/>
      <c r="G862" s="95"/>
      <c r="H862" s="95"/>
      <c r="I862" s="95"/>
      <c r="J862" s="95"/>
      <c r="K862" s="95"/>
      <c r="L862" s="95"/>
      <c r="M862" s="95"/>
      <c r="N862" s="95"/>
      <c r="O862" s="95"/>
      <c r="P862" s="95"/>
      <c r="Q862" s="95"/>
      <c r="R862" s="95"/>
      <c r="S862" s="95"/>
      <c r="T862" s="95"/>
      <c r="U862" s="95"/>
      <c r="V862" s="95"/>
      <c r="W862" s="95"/>
      <c r="X862" s="95"/>
      <c r="Y862" s="95"/>
      <c r="Z862" s="95"/>
    </row>
    <row r="863" ht="15.75" hidden="1" customHeight="1" spans="1:26">
      <c r="A863" s="95"/>
      <c r="B863" s="95"/>
      <c r="C863" s="95"/>
      <c r="D863" s="95"/>
      <c r="E863" s="95"/>
      <c r="F863" s="95"/>
      <c r="G863" s="95"/>
      <c r="H863" s="95"/>
      <c r="I863" s="95"/>
      <c r="J863" s="95"/>
      <c r="K863" s="95"/>
      <c r="L863" s="95"/>
      <c r="M863" s="95"/>
      <c r="N863" s="95"/>
      <c r="O863" s="95"/>
      <c r="P863" s="95"/>
      <c r="Q863" s="95"/>
      <c r="R863" s="95"/>
      <c r="S863" s="95"/>
      <c r="T863" s="95"/>
      <c r="U863" s="95"/>
      <c r="V863" s="95"/>
      <c r="W863" s="95"/>
      <c r="X863" s="95"/>
      <c r="Y863" s="95"/>
      <c r="Z863" s="95"/>
    </row>
    <row r="864" ht="15.75" hidden="1" customHeight="1" spans="1:26">
      <c r="A864" s="95"/>
      <c r="B864" s="95"/>
      <c r="C864" s="95"/>
      <c r="D864" s="95"/>
      <c r="E864" s="95"/>
      <c r="F864" s="95"/>
      <c r="G864" s="95"/>
      <c r="H864" s="95"/>
      <c r="I864" s="95"/>
      <c r="J864" s="95"/>
      <c r="K864" s="95"/>
      <c r="L864" s="95"/>
      <c r="M864" s="95"/>
      <c r="N864" s="95"/>
      <c r="O864" s="95"/>
      <c r="P864" s="95"/>
      <c r="Q864" s="95"/>
      <c r="R864" s="95"/>
      <c r="S864" s="95"/>
      <c r="T864" s="95"/>
      <c r="U864" s="95"/>
      <c r="V864" s="95"/>
      <c r="W864" s="95"/>
      <c r="X864" s="95"/>
      <c r="Y864" s="95"/>
      <c r="Z864" s="95"/>
    </row>
    <row r="865" ht="15.75" hidden="1" customHeight="1" spans="1:26">
      <c r="A865" s="95"/>
      <c r="B865" s="95"/>
      <c r="C865" s="95"/>
      <c r="D865" s="95"/>
      <c r="E865" s="95"/>
      <c r="F865" s="95"/>
      <c r="G865" s="95"/>
      <c r="H865" s="95"/>
      <c r="I865" s="95"/>
      <c r="J865" s="95"/>
      <c r="K865" s="95"/>
      <c r="L865" s="95"/>
      <c r="M865" s="95"/>
      <c r="N865" s="95"/>
      <c r="O865" s="95"/>
      <c r="P865" s="95"/>
      <c r="Q865" s="95"/>
      <c r="R865" s="95"/>
      <c r="S865" s="95"/>
      <c r="T865" s="95"/>
      <c r="U865" s="95"/>
      <c r="V865" s="95"/>
      <c r="W865" s="95"/>
      <c r="X865" s="95"/>
      <c r="Y865" s="95"/>
      <c r="Z865" s="95"/>
    </row>
    <row r="866" ht="15.75" hidden="1" customHeight="1" spans="1:26">
      <c r="A866" s="95"/>
      <c r="B866" s="95"/>
      <c r="C866" s="95"/>
      <c r="D866" s="95"/>
      <c r="E866" s="95"/>
      <c r="F866" s="95"/>
      <c r="G866" s="95"/>
      <c r="H866" s="95"/>
      <c r="I866" s="95"/>
      <c r="J866" s="95"/>
      <c r="K866" s="95"/>
      <c r="L866" s="95"/>
      <c r="M866" s="95"/>
      <c r="N866" s="95"/>
      <c r="O866" s="95"/>
      <c r="P866" s="95"/>
      <c r="Q866" s="95"/>
      <c r="R866" s="95"/>
      <c r="S866" s="95"/>
      <c r="T866" s="95"/>
      <c r="U866" s="95"/>
      <c r="V866" s="95"/>
      <c r="W866" s="95"/>
      <c r="X866" s="95"/>
      <c r="Y866" s="95"/>
      <c r="Z866" s="95"/>
    </row>
    <row r="867" ht="15.75" hidden="1" customHeight="1" spans="1:26">
      <c r="A867" s="95"/>
      <c r="B867" s="95"/>
      <c r="C867" s="95"/>
      <c r="D867" s="95"/>
      <c r="E867" s="95"/>
      <c r="F867" s="95"/>
      <c r="G867" s="95"/>
      <c r="H867" s="95"/>
      <c r="I867" s="95"/>
      <c r="J867" s="95"/>
      <c r="K867" s="95"/>
      <c r="L867" s="95"/>
      <c r="M867" s="95"/>
      <c r="N867" s="95"/>
      <c r="O867" s="95"/>
      <c r="P867" s="95"/>
      <c r="Q867" s="95"/>
      <c r="R867" s="95"/>
      <c r="S867" s="95"/>
      <c r="T867" s="95"/>
      <c r="U867" s="95"/>
      <c r="V867" s="95"/>
      <c r="W867" s="95"/>
      <c r="X867" s="95"/>
      <c r="Y867" s="95"/>
      <c r="Z867" s="95"/>
    </row>
    <row r="868" ht="15.75" hidden="1" customHeight="1" spans="1:26">
      <c r="A868" s="95"/>
      <c r="B868" s="95"/>
      <c r="C868" s="95"/>
      <c r="D868" s="95"/>
      <c r="E868" s="95"/>
      <c r="F868" s="95"/>
      <c r="G868" s="95"/>
      <c r="H868" s="95"/>
      <c r="I868" s="95"/>
      <c r="J868" s="95"/>
      <c r="K868" s="95"/>
      <c r="L868" s="95"/>
      <c r="M868" s="95"/>
      <c r="N868" s="95"/>
      <c r="O868" s="95"/>
      <c r="P868" s="95"/>
      <c r="Q868" s="95"/>
      <c r="R868" s="95"/>
      <c r="S868" s="95"/>
      <c r="T868" s="95"/>
      <c r="U868" s="95"/>
      <c r="V868" s="95"/>
      <c r="W868" s="95"/>
      <c r="X868" s="95"/>
      <c r="Y868" s="95"/>
      <c r="Z868" s="95"/>
    </row>
    <row r="869" ht="15.75" hidden="1" customHeight="1" spans="1:26">
      <c r="A869" s="95"/>
      <c r="B869" s="95"/>
      <c r="C869" s="95"/>
      <c r="D869" s="95"/>
      <c r="E869" s="95"/>
      <c r="F869" s="95"/>
      <c r="G869" s="95"/>
      <c r="H869" s="95"/>
      <c r="I869" s="95"/>
      <c r="J869" s="95"/>
      <c r="K869" s="95"/>
      <c r="L869" s="95"/>
      <c r="M869" s="95"/>
      <c r="N869" s="95"/>
      <c r="O869" s="95"/>
      <c r="P869" s="95"/>
      <c r="Q869" s="95"/>
      <c r="R869" s="95"/>
      <c r="S869" s="95"/>
      <c r="T869" s="95"/>
      <c r="U869" s="95"/>
      <c r="V869" s="95"/>
      <c r="W869" s="95"/>
      <c r="X869" s="95"/>
      <c r="Y869" s="95"/>
      <c r="Z869" s="95"/>
    </row>
    <row r="870" ht="15.75" hidden="1" customHeight="1" spans="1:26">
      <c r="A870" s="95"/>
      <c r="B870" s="95"/>
      <c r="C870" s="95"/>
      <c r="D870" s="95"/>
      <c r="E870" s="95"/>
      <c r="F870" s="95"/>
      <c r="G870" s="95"/>
      <c r="H870" s="95"/>
      <c r="I870" s="95"/>
      <c r="J870" s="95"/>
      <c r="K870" s="95"/>
      <c r="L870" s="95"/>
      <c r="M870" s="95"/>
      <c r="N870" s="95"/>
      <c r="O870" s="95"/>
      <c r="P870" s="95"/>
      <c r="Q870" s="95"/>
      <c r="R870" s="95"/>
      <c r="S870" s="95"/>
      <c r="T870" s="95"/>
      <c r="U870" s="95"/>
      <c r="V870" s="95"/>
      <c r="W870" s="95"/>
      <c r="X870" s="95"/>
      <c r="Y870" s="95"/>
      <c r="Z870" s="95"/>
    </row>
    <row r="871" ht="15.75" hidden="1" customHeight="1" spans="1:26">
      <c r="A871" s="95"/>
      <c r="B871" s="95"/>
      <c r="C871" s="95"/>
      <c r="D871" s="95"/>
      <c r="E871" s="95"/>
      <c r="F871" s="95"/>
      <c r="G871" s="95"/>
      <c r="H871" s="95"/>
      <c r="I871" s="95"/>
      <c r="J871" s="95"/>
      <c r="K871" s="95"/>
      <c r="L871" s="95"/>
      <c r="M871" s="95"/>
      <c r="N871" s="95"/>
      <c r="O871" s="95"/>
      <c r="P871" s="95"/>
      <c r="Q871" s="95"/>
      <c r="R871" s="95"/>
      <c r="S871" s="95"/>
      <c r="T871" s="95"/>
      <c r="U871" s="95"/>
      <c r="V871" s="95"/>
      <c r="W871" s="95"/>
      <c r="X871" s="95"/>
      <c r="Y871" s="95"/>
      <c r="Z871" s="95"/>
    </row>
    <row r="872" ht="15.75" hidden="1" customHeight="1" spans="1:26">
      <c r="A872" s="95"/>
      <c r="B872" s="95"/>
      <c r="C872" s="95"/>
      <c r="D872" s="95"/>
      <c r="E872" s="95"/>
      <c r="F872" s="95"/>
      <c r="G872" s="95"/>
      <c r="H872" s="95"/>
      <c r="I872" s="95"/>
      <c r="J872" s="95"/>
      <c r="K872" s="95"/>
      <c r="L872" s="95"/>
      <c r="M872" s="95"/>
      <c r="N872" s="95"/>
      <c r="O872" s="95"/>
      <c r="P872" s="95"/>
      <c r="Q872" s="95"/>
      <c r="R872" s="95"/>
      <c r="S872" s="95"/>
      <c r="T872" s="95"/>
      <c r="U872" s="95"/>
      <c r="V872" s="95"/>
      <c r="W872" s="95"/>
      <c r="X872" s="95"/>
      <c r="Y872" s="95"/>
      <c r="Z872" s="95"/>
    </row>
    <row r="873" ht="15.75" hidden="1" customHeight="1" spans="1:26">
      <c r="A873" s="95"/>
      <c r="B873" s="95"/>
      <c r="C873" s="95"/>
      <c r="D873" s="95"/>
      <c r="E873" s="95"/>
      <c r="F873" s="95"/>
      <c r="G873" s="95"/>
      <c r="H873" s="95"/>
      <c r="I873" s="95"/>
      <c r="J873" s="95"/>
      <c r="K873" s="95"/>
      <c r="L873" s="95"/>
      <c r="M873" s="95"/>
      <c r="N873" s="95"/>
      <c r="O873" s="95"/>
      <c r="P873" s="95"/>
      <c r="Q873" s="95"/>
      <c r="R873" s="95"/>
      <c r="S873" s="95"/>
      <c r="T873" s="95"/>
      <c r="U873" s="95"/>
      <c r="V873" s="95"/>
      <c r="W873" s="95"/>
      <c r="X873" s="95"/>
      <c r="Y873" s="95"/>
      <c r="Z873" s="95"/>
    </row>
    <row r="874" ht="15.75" hidden="1" customHeight="1" spans="1:26">
      <c r="A874" s="95"/>
      <c r="B874" s="95"/>
      <c r="C874" s="95"/>
      <c r="D874" s="95"/>
      <c r="E874" s="95"/>
      <c r="F874" s="95"/>
      <c r="G874" s="95"/>
      <c r="H874" s="95"/>
      <c r="I874" s="95"/>
      <c r="J874" s="95"/>
      <c r="K874" s="95"/>
      <c r="L874" s="95"/>
      <c r="M874" s="95"/>
      <c r="N874" s="95"/>
      <c r="O874" s="95"/>
      <c r="P874" s="95"/>
      <c r="Q874" s="95"/>
      <c r="R874" s="95"/>
      <c r="S874" s="95"/>
      <c r="T874" s="95"/>
      <c r="U874" s="95"/>
      <c r="V874" s="95"/>
      <c r="W874" s="95"/>
      <c r="X874" s="95"/>
      <c r="Y874" s="95"/>
      <c r="Z874" s="95"/>
    </row>
    <row r="875" ht="15.75" hidden="1" customHeight="1" spans="1:26">
      <c r="A875" s="95"/>
      <c r="B875" s="95"/>
      <c r="C875" s="95"/>
      <c r="D875" s="95"/>
      <c r="E875" s="95"/>
      <c r="F875" s="95"/>
      <c r="G875" s="95"/>
      <c r="H875" s="95"/>
      <c r="I875" s="95"/>
      <c r="J875" s="95"/>
      <c r="K875" s="95"/>
      <c r="L875" s="95"/>
      <c r="M875" s="95"/>
      <c r="N875" s="95"/>
      <c r="O875" s="95"/>
      <c r="P875" s="95"/>
      <c r="Q875" s="95"/>
      <c r="R875" s="95"/>
      <c r="S875" s="95"/>
      <c r="T875" s="95"/>
      <c r="U875" s="95"/>
      <c r="V875" s="95"/>
      <c r="W875" s="95"/>
      <c r="X875" s="95"/>
      <c r="Y875" s="95"/>
      <c r="Z875" s="95"/>
    </row>
    <row r="876" ht="15.75" hidden="1" customHeight="1" spans="1:26">
      <c r="A876" s="95"/>
      <c r="B876" s="95"/>
      <c r="C876" s="95"/>
      <c r="D876" s="95"/>
      <c r="E876" s="95"/>
      <c r="F876" s="95"/>
      <c r="G876" s="95"/>
      <c r="H876" s="95"/>
      <c r="I876" s="95"/>
      <c r="J876" s="95"/>
      <c r="K876" s="95"/>
      <c r="L876" s="95"/>
      <c r="M876" s="95"/>
      <c r="N876" s="95"/>
      <c r="O876" s="95"/>
      <c r="P876" s="95"/>
      <c r="Q876" s="95"/>
      <c r="R876" s="95"/>
      <c r="S876" s="95"/>
      <c r="T876" s="95"/>
      <c r="U876" s="95"/>
      <c r="V876" s="95"/>
      <c r="W876" s="95"/>
      <c r="X876" s="95"/>
      <c r="Y876" s="95"/>
      <c r="Z876" s="95"/>
    </row>
    <row r="877" ht="15.75" hidden="1" customHeight="1" spans="1:26">
      <c r="A877" s="95"/>
      <c r="B877" s="95"/>
      <c r="C877" s="95"/>
      <c r="D877" s="95"/>
      <c r="E877" s="95"/>
      <c r="F877" s="95"/>
      <c r="G877" s="95"/>
      <c r="H877" s="95"/>
      <c r="I877" s="95"/>
      <c r="J877" s="95"/>
      <c r="K877" s="95"/>
      <c r="L877" s="95"/>
      <c r="M877" s="95"/>
      <c r="N877" s="95"/>
      <c r="O877" s="95"/>
      <c r="P877" s="95"/>
      <c r="Q877" s="95"/>
      <c r="R877" s="95"/>
      <c r="S877" s="95"/>
      <c r="T877" s="95"/>
      <c r="U877" s="95"/>
      <c r="V877" s="95"/>
      <c r="W877" s="95"/>
      <c r="X877" s="95"/>
      <c r="Y877" s="95"/>
      <c r="Z877" s="95"/>
    </row>
    <row r="878" ht="15.75" hidden="1" customHeight="1" spans="1:26">
      <c r="A878" s="95"/>
      <c r="B878" s="95"/>
      <c r="C878" s="95"/>
      <c r="D878" s="95"/>
      <c r="E878" s="95"/>
      <c r="F878" s="95"/>
      <c r="G878" s="95"/>
      <c r="H878" s="95"/>
      <c r="I878" s="95"/>
      <c r="J878" s="95"/>
      <c r="K878" s="95"/>
      <c r="L878" s="95"/>
      <c r="M878" s="95"/>
      <c r="N878" s="95"/>
      <c r="O878" s="95"/>
      <c r="P878" s="95"/>
      <c r="Q878" s="95"/>
      <c r="R878" s="95"/>
      <c r="S878" s="95"/>
      <c r="T878" s="95"/>
      <c r="U878" s="95"/>
      <c r="V878" s="95"/>
      <c r="W878" s="95"/>
      <c r="X878" s="95"/>
      <c r="Y878" s="95"/>
      <c r="Z878" s="95"/>
    </row>
    <row r="879" ht="15.75" hidden="1" customHeight="1" spans="1:26">
      <c r="A879" s="95"/>
      <c r="B879" s="95"/>
      <c r="C879" s="95"/>
      <c r="D879" s="95"/>
      <c r="E879" s="95"/>
      <c r="F879" s="95"/>
      <c r="G879" s="95"/>
      <c r="H879" s="95"/>
      <c r="I879" s="95"/>
      <c r="J879" s="95"/>
      <c r="K879" s="95"/>
      <c r="L879" s="95"/>
      <c r="M879" s="95"/>
      <c r="N879" s="95"/>
      <c r="O879" s="95"/>
      <c r="P879" s="95"/>
      <c r="Q879" s="95"/>
      <c r="R879" s="95"/>
      <c r="S879" s="95"/>
      <c r="T879" s="95"/>
      <c r="U879" s="95"/>
      <c r="V879" s="95"/>
      <c r="W879" s="95"/>
      <c r="X879" s="95"/>
      <c r="Y879" s="95"/>
      <c r="Z879" s="95"/>
    </row>
    <row r="880" ht="15.75" hidden="1" customHeight="1" spans="1:26">
      <c r="A880" s="95"/>
      <c r="B880" s="95"/>
      <c r="C880" s="95"/>
      <c r="D880" s="95"/>
      <c r="E880" s="95"/>
      <c r="F880" s="95"/>
      <c r="G880" s="95"/>
      <c r="H880" s="95"/>
      <c r="I880" s="95"/>
      <c r="J880" s="95"/>
      <c r="K880" s="95"/>
      <c r="L880" s="95"/>
      <c r="M880" s="95"/>
      <c r="N880" s="95"/>
      <c r="O880" s="95"/>
      <c r="P880" s="95"/>
      <c r="Q880" s="95"/>
      <c r="R880" s="95"/>
      <c r="S880" s="95"/>
      <c r="T880" s="95"/>
      <c r="U880" s="95"/>
      <c r="V880" s="95"/>
      <c r="W880" s="95"/>
      <c r="X880" s="95"/>
      <c r="Y880" s="95"/>
      <c r="Z880" s="95"/>
    </row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xmlns:etc="http://www.wps.cn/officeDocument/2017/etCustomData" ref="A1:Z1000" etc:filterBottomFollowUsedRange="0">
    <extLst/>
  </autoFilter>
  <printOptions horizontalCentered="1" gridLines="1"/>
  <pageMargins left="0.7" right="0.7" top="0.75" bottom="0.75" header="0" footer="0"/>
  <pageSetup paperSize="9" fitToHeight="0" pageOrder="overThenDown" orientation="landscape" cellComments="atEnd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R70"/>
  <sheetViews>
    <sheetView tabSelected="1" topLeftCell="B1" workbookViewId="0">
      <selection activeCell="B2" sqref="B2:Q2"/>
    </sheetView>
  </sheetViews>
  <sheetFormatPr defaultColWidth="14.43" defaultRowHeight="15" customHeight="1"/>
  <cols>
    <col min="1" max="1" width="11.14" hidden="1" customWidth="1"/>
    <col min="2" max="2" width="31.29" customWidth="1"/>
    <col min="3" max="3" width="10.71" customWidth="1"/>
    <col min="4" max="4" width="29" customWidth="1"/>
    <col min="5" max="5" width="20" customWidth="1"/>
    <col min="6" max="6" width="17.71" customWidth="1"/>
    <col min="7" max="7" width="14.14" customWidth="1"/>
    <col min="8" max="8" width="44.71" customWidth="1"/>
    <col min="9" max="9" width="8.14" customWidth="1"/>
    <col min="10" max="10" width="5.29" customWidth="1"/>
    <col min="11" max="11" width="9.71" customWidth="1"/>
    <col min="12" max="12" width="4.71" customWidth="1"/>
    <col min="13" max="13" width="9.57" customWidth="1"/>
    <col min="14" max="14" width="7" customWidth="1"/>
    <col min="15" max="15" width="10.43" customWidth="1"/>
    <col min="16" max="16" width="5.14" customWidth="1"/>
    <col min="17" max="17" width="11.14" customWidth="1"/>
    <col min="18" max="18" width="14.43" customWidth="1"/>
  </cols>
  <sheetData>
    <row r="1" customHeight="1" spans="1:18">
      <c r="A1" s="87"/>
      <c r="B1" s="87" t="s">
        <v>19</v>
      </c>
    </row>
    <row r="2" customHeight="1" spans="1:18">
      <c r="A2" s="88"/>
      <c r="B2" s="88" t="s">
        <v>20</v>
      </c>
      <c r="R2" s="88"/>
    </row>
    <row r="3" customHeight="1" spans="1:18">
      <c r="A3" s="88"/>
      <c r="B3" s="89" t="s">
        <v>21</v>
      </c>
      <c r="R3" s="88"/>
    </row>
    <row r="4" customHeight="1" spans="1:18">
      <c r="A4" s="33"/>
      <c r="B4" s="33"/>
      <c r="C4" s="33"/>
      <c r="D4" s="33"/>
      <c r="E4" s="33"/>
      <c r="F4" s="33"/>
      <c r="G4" s="33"/>
      <c r="H4" s="33"/>
      <c r="I4" s="34"/>
      <c r="J4" s="34"/>
      <c r="K4" s="34"/>
      <c r="L4" s="34"/>
      <c r="M4" s="34"/>
      <c r="N4" s="34"/>
      <c r="O4" s="34"/>
      <c r="P4" s="34"/>
      <c r="Q4" s="34"/>
      <c r="R4" s="34"/>
    </row>
    <row r="5" customHeight="1" spans="1:18">
      <c r="A5" s="86" t="s">
        <v>22</v>
      </c>
      <c r="B5" s="36" t="s">
        <v>23</v>
      </c>
      <c r="D5" s="37" t="s">
        <v>24</v>
      </c>
      <c r="E5" s="38" t="s">
        <v>25</v>
      </c>
      <c r="F5" s="39"/>
      <c r="G5" s="39"/>
      <c r="H5" s="39"/>
      <c r="I5" s="39"/>
      <c r="J5" s="39"/>
      <c r="K5" s="39"/>
      <c r="L5" s="39"/>
      <c r="M5" s="39"/>
      <c r="N5" s="39"/>
      <c r="O5" s="39"/>
      <c r="P5" s="39"/>
      <c r="Q5" s="40"/>
      <c r="R5" s="33"/>
    </row>
    <row r="6" customHeight="1" spans="1:18">
      <c r="B6" s="41"/>
      <c r="D6" s="42"/>
      <c r="E6" s="38" t="s">
        <v>26</v>
      </c>
      <c r="F6" s="39"/>
      <c r="G6" s="39"/>
      <c r="H6" s="40"/>
      <c r="I6" s="38" t="s">
        <v>27</v>
      </c>
      <c r="J6" s="40"/>
      <c r="K6" s="38" t="s">
        <v>28</v>
      </c>
      <c r="L6" s="39"/>
      <c r="M6" s="39"/>
      <c r="N6" s="39"/>
      <c r="O6" s="39"/>
      <c r="P6" s="40"/>
      <c r="Q6" s="43" t="s">
        <v>29</v>
      </c>
      <c r="R6" s="33"/>
    </row>
    <row r="7" customHeight="1" spans="1:18">
      <c r="B7" s="41"/>
      <c r="D7" s="42"/>
      <c r="E7" s="44" t="s">
        <v>30</v>
      </c>
      <c r="F7" s="44" t="s">
        <v>31</v>
      </c>
      <c r="G7" s="44" t="s">
        <v>32</v>
      </c>
      <c r="H7" s="45" t="s">
        <v>33</v>
      </c>
      <c r="I7" s="38" t="s">
        <v>32</v>
      </c>
      <c r="J7" s="40"/>
      <c r="K7" s="38" t="s">
        <v>34</v>
      </c>
      <c r="L7" s="40"/>
      <c r="M7" s="38" t="s">
        <v>35</v>
      </c>
      <c r="N7" s="40"/>
      <c r="O7" s="46" t="s">
        <v>33</v>
      </c>
      <c r="P7" s="40"/>
      <c r="Q7" s="40"/>
      <c r="R7" s="33"/>
    </row>
    <row r="8" customHeight="1" spans="1:18">
      <c r="B8" s="47"/>
      <c r="C8" s="39"/>
      <c r="D8" s="40"/>
      <c r="E8" s="44" t="s">
        <v>36</v>
      </c>
      <c r="F8" s="44" t="s">
        <v>36</v>
      </c>
      <c r="G8" s="44" t="s">
        <v>36</v>
      </c>
      <c r="H8" s="45" t="s">
        <v>36</v>
      </c>
      <c r="I8" s="44" t="s">
        <v>37</v>
      </c>
      <c r="J8" s="44" t="s">
        <v>38</v>
      </c>
      <c r="K8" s="44" t="s">
        <v>37</v>
      </c>
      <c r="L8" s="44" t="s">
        <v>38</v>
      </c>
      <c r="M8" s="44" t="s">
        <v>37</v>
      </c>
      <c r="N8" s="44" t="s">
        <v>38</v>
      </c>
      <c r="O8" s="45" t="s">
        <v>37</v>
      </c>
      <c r="P8" s="45" t="s">
        <v>38</v>
      </c>
      <c r="Q8" s="48" t="s">
        <v>39</v>
      </c>
      <c r="R8" s="33"/>
    </row>
    <row r="9" customHeight="1" spans="1:18">
      <c r="A9" s="33"/>
      <c r="B9" s="49" t="s">
        <v>40</v>
      </c>
      <c r="C9" s="42"/>
      <c r="D9" s="50" t="s">
        <v>41</v>
      </c>
      <c r="E9" s="51">
        <v>15</v>
      </c>
      <c r="F9" s="51">
        <v>30</v>
      </c>
      <c r="G9" s="51"/>
      <c r="H9" s="52">
        <v>45</v>
      </c>
      <c r="I9" s="51">
        <v>20</v>
      </c>
      <c r="J9" s="51">
        <v>20</v>
      </c>
      <c r="K9" s="51">
        <v>40</v>
      </c>
      <c r="L9" s="51">
        <v>20</v>
      </c>
      <c r="M9" s="51">
        <v>20</v>
      </c>
      <c r="N9" s="51">
        <v>40</v>
      </c>
      <c r="O9" s="52">
        <v>80</v>
      </c>
      <c r="P9" s="52">
        <v>80</v>
      </c>
      <c r="Q9" s="53">
        <v>205</v>
      </c>
      <c r="R9" s="90"/>
    </row>
    <row r="10" customHeight="1" spans="1:18">
      <c r="A10" s="33">
        <v>26188333</v>
      </c>
      <c r="B10" s="41"/>
      <c r="C10" s="42"/>
      <c r="D10" s="50" t="s">
        <v>42</v>
      </c>
      <c r="E10" s="51">
        <v>15</v>
      </c>
      <c r="F10" s="51">
        <v>28</v>
      </c>
      <c r="G10" s="51">
        <v>0</v>
      </c>
      <c r="H10" s="52">
        <v>43</v>
      </c>
      <c r="I10" s="51">
        <v>20</v>
      </c>
      <c r="J10" s="51">
        <v>21</v>
      </c>
      <c r="K10" s="51">
        <v>36</v>
      </c>
      <c r="L10" s="51">
        <v>20</v>
      </c>
      <c r="M10" s="51">
        <v>19</v>
      </c>
      <c r="N10" s="51">
        <v>37</v>
      </c>
      <c r="O10" s="52">
        <v>75</v>
      </c>
      <c r="P10" s="52">
        <v>78</v>
      </c>
      <c r="Q10" s="54">
        <v>196</v>
      </c>
      <c r="R10" s="90"/>
    </row>
    <row r="11" customHeight="1" spans="1:18">
      <c r="A11" s="33"/>
      <c r="B11" s="47"/>
      <c r="C11" s="40"/>
      <c r="D11" s="55" t="s">
        <v>43</v>
      </c>
      <c r="E11" s="56">
        <v>0</v>
      </c>
      <c r="F11" s="56">
        <v>2</v>
      </c>
      <c r="G11" s="56">
        <v>0</v>
      </c>
      <c r="H11" s="56">
        <v>2</v>
      </c>
      <c r="I11" s="56">
        <v>0</v>
      </c>
      <c r="J11" s="56">
        <v>-1</v>
      </c>
      <c r="K11" s="56">
        <v>4</v>
      </c>
      <c r="L11" s="56">
        <v>0</v>
      </c>
      <c r="M11" s="56">
        <v>1</v>
      </c>
      <c r="N11" s="56">
        <v>3</v>
      </c>
      <c r="O11" s="56">
        <v>5</v>
      </c>
      <c r="P11" s="56">
        <v>2</v>
      </c>
      <c r="Q11" s="56">
        <v>9</v>
      </c>
      <c r="R11" s="90"/>
    </row>
    <row r="12" customHeight="1" spans="1:18">
      <c r="A12" s="33"/>
      <c r="B12" s="49" t="s">
        <v>44</v>
      </c>
      <c r="C12" s="42"/>
      <c r="D12" s="50" t="s">
        <v>41</v>
      </c>
      <c r="E12" s="51"/>
      <c r="F12" s="51"/>
      <c r="G12" s="51"/>
      <c r="H12" s="52">
        <v>0</v>
      </c>
      <c r="I12" s="51">
        <v>32</v>
      </c>
      <c r="J12" s="51">
        <v>44</v>
      </c>
      <c r="K12" s="51">
        <v>44</v>
      </c>
      <c r="L12" s="51">
        <v>38</v>
      </c>
      <c r="M12" s="51">
        <v>52</v>
      </c>
      <c r="N12" s="51">
        <v>46</v>
      </c>
      <c r="O12" s="52">
        <v>128</v>
      </c>
      <c r="P12" s="52">
        <v>128</v>
      </c>
      <c r="Q12" s="53">
        <v>256</v>
      </c>
      <c r="R12" s="90"/>
    </row>
    <row r="13" customHeight="1" spans="1:18">
      <c r="A13" s="33">
        <v>26147840</v>
      </c>
      <c r="B13" s="41"/>
      <c r="C13" s="42"/>
      <c r="D13" s="50" t="s">
        <v>42</v>
      </c>
      <c r="E13" s="51">
        <v>0</v>
      </c>
      <c r="F13" s="51">
        <v>0</v>
      </c>
      <c r="G13" s="51">
        <v>0</v>
      </c>
      <c r="H13" s="52">
        <v>0</v>
      </c>
      <c r="I13" s="51">
        <v>33</v>
      </c>
      <c r="J13" s="51">
        <v>44</v>
      </c>
      <c r="K13" s="51">
        <v>44</v>
      </c>
      <c r="L13" s="51">
        <v>38</v>
      </c>
      <c r="M13" s="51">
        <v>52</v>
      </c>
      <c r="N13" s="51">
        <v>46</v>
      </c>
      <c r="O13" s="52">
        <v>129</v>
      </c>
      <c r="P13" s="52">
        <v>128</v>
      </c>
      <c r="Q13" s="54">
        <v>257</v>
      </c>
      <c r="R13" s="90"/>
    </row>
    <row r="14" customHeight="1" spans="1:18">
      <c r="A14" s="33"/>
      <c r="B14" s="47"/>
      <c r="C14" s="40"/>
      <c r="D14" s="55" t="s">
        <v>43</v>
      </c>
      <c r="E14" s="56">
        <v>0</v>
      </c>
      <c r="F14" s="56">
        <v>0</v>
      </c>
      <c r="G14" s="56">
        <v>0</v>
      </c>
      <c r="H14" s="56">
        <v>0</v>
      </c>
      <c r="I14" s="56">
        <v>-1</v>
      </c>
      <c r="J14" s="56">
        <v>0</v>
      </c>
      <c r="K14" s="56">
        <v>0</v>
      </c>
      <c r="L14" s="56">
        <v>0</v>
      </c>
      <c r="M14" s="56">
        <v>0</v>
      </c>
      <c r="N14" s="56">
        <v>0</v>
      </c>
      <c r="O14" s="56">
        <v>-1</v>
      </c>
      <c r="P14" s="56">
        <v>0</v>
      </c>
      <c r="Q14" s="56">
        <v>-1</v>
      </c>
      <c r="R14" s="90"/>
    </row>
    <row r="15" customHeight="1" spans="1:18">
      <c r="A15" s="33"/>
      <c r="B15" s="49" t="s">
        <v>45</v>
      </c>
      <c r="C15" s="42"/>
      <c r="D15" s="50" t="s">
        <v>41</v>
      </c>
      <c r="E15" s="51">
        <v>30</v>
      </c>
      <c r="F15" s="51">
        <v>45</v>
      </c>
      <c r="G15" s="51">
        <v>36</v>
      </c>
      <c r="H15" s="52">
        <v>111</v>
      </c>
      <c r="I15" s="51"/>
      <c r="J15" s="51"/>
      <c r="K15" s="51"/>
      <c r="L15" s="51"/>
      <c r="M15" s="51"/>
      <c r="N15" s="51"/>
      <c r="O15" s="52">
        <v>0</v>
      </c>
      <c r="P15" s="52">
        <v>0</v>
      </c>
      <c r="Q15" s="53">
        <v>111</v>
      </c>
      <c r="R15" s="90"/>
    </row>
    <row r="16" customHeight="1" spans="1:18">
      <c r="A16" s="33">
        <v>26156270</v>
      </c>
      <c r="B16" s="41"/>
      <c r="C16" s="42"/>
      <c r="D16" s="50" t="s">
        <v>42</v>
      </c>
      <c r="E16" s="51">
        <v>30</v>
      </c>
      <c r="F16" s="51">
        <v>45</v>
      </c>
      <c r="G16" s="51">
        <v>39</v>
      </c>
      <c r="H16" s="52">
        <v>114</v>
      </c>
      <c r="I16" s="51">
        <v>0</v>
      </c>
      <c r="J16" s="51">
        <v>0</v>
      </c>
      <c r="K16" s="51">
        <v>0</v>
      </c>
      <c r="L16" s="51">
        <v>0</v>
      </c>
      <c r="M16" s="51">
        <v>0</v>
      </c>
      <c r="N16" s="51">
        <v>0</v>
      </c>
      <c r="O16" s="52">
        <v>0</v>
      </c>
      <c r="P16" s="52">
        <v>0</v>
      </c>
      <c r="Q16" s="54">
        <v>114</v>
      </c>
      <c r="R16" s="90"/>
    </row>
    <row r="17" customHeight="1" spans="1:18">
      <c r="A17" s="33"/>
      <c r="B17" s="47"/>
      <c r="C17" s="40"/>
      <c r="D17" s="55" t="s">
        <v>43</v>
      </c>
      <c r="E17" s="56">
        <v>0</v>
      </c>
      <c r="F17" s="56">
        <v>0</v>
      </c>
      <c r="G17" s="56">
        <v>-3</v>
      </c>
      <c r="H17" s="56">
        <v>-3</v>
      </c>
      <c r="I17" s="56">
        <v>0</v>
      </c>
      <c r="J17" s="56">
        <v>0</v>
      </c>
      <c r="K17" s="56">
        <v>0</v>
      </c>
      <c r="L17" s="56">
        <v>0</v>
      </c>
      <c r="M17" s="56">
        <v>0</v>
      </c>
      <c r="N17" s="56">
        <v>0</v>
      </c>
      <c r="O17" s="56">
        <v>0</v>
      </c>
      <c r="P17" s="56">
        <v>0</v>
      </c>
      <c r="Q17" s="56">
        <v>-3</v>
      </c>
      <c r="R17" s="90"/>
    </row>
    <row r="18" customHeight="1" spans="1:18">
      <c r="A18" s="33"/>
      <c r="B18" s="49" t="s">
        <v>46</v>
      </c>
      <c r="C18" s="42"/>
      <c r="D18" s="50" t="s">
        <v>41</v>
      </c>
      <c r="E18" s="51">
        <v>15</v>
      </c>
      <c r="F18" s="51">
        <v>15</v>
      </c>
      <c r="G18" s="51">
        <v>40</v>
      </c>
      <c r="H18" s="52">
        <v>70</v>
      </c>
      <c r="I18" s="51"/>
      <c r="J18" s="51"/>
      <c r="K18" s="51"/>
      <c r="L18" s="51"/>
      <c r="M18" s="51"/>
      <c r="N18" s="51"/>
      <c r="O18" s="52">
        <v>0</v>
      </c>
      <c r="P18" s="52">
        <v>0</v>
      </c>
      <c r="Q18" s="53">
        <v>70</v>
      </c>
      <c r="R18" s="90"/>
    </row>
    <row r="19" customHeight="1" spans="1:18">
      <c r="A19" s="33">
        <v>26188767</v>
      </c>
      <c r="B19" s="41"/>
      <c r="C19" s="42"/>
      <c r="D19" s="50" t="s">
        <v>42</v>
      </c>
      <c r="E19" s="51">
        <v>15</v>
      </c>
      <c r="F19" s="51">
        <v>15</v>
      </c>
      <c r="G19" s="51">
        <v>40</v>
      </c>
      <c r="H19" s="52">
        <v>64</v>
      </c>
      <c r="I19" s="51"/>
      <c r="J19" s="51"/>
      <c r="K19" s="51"/>
      <c r="L19" s="51"/>
      <c r="M19" s="51"/>
      <c r="N19" s="51"/>
      <c r="O19" s="52">
        <v>0</v>
      </c>
      <c r="P19" s="52">
        <v>0</v>
      </c>
      <c r="Q19" s="54">
        <v>64</v>
      </c>
      <c r="R19" s="90"/>
    </row>
    <row r="20" customHeight="1" spans="1:18">
      <c r="A20" s="33"/>
      <c r="B20" s="47"/>
      <c r="C20" s="40"/>
      <c r="D20" s="55" t="s">
        <v>43</v>
      </c>
      <c r="E20" s="56">
        <v>0</v>
      </c>
      <c r="F20" s="56">
        <v>0</v>
      </c>
      <c r="G20" s="56">
        <v>0</v>
      </c>
      <c r="H20" s="56">
        <v>6</v>
      </c>
      <c r="I20" s="56">
        <v>0</v>
      </c>
      <c r="J20" s="56">
        <v>0</v>
      </c>
      <c r="K20" s="56">
        <v>0</v>
      </c>
      <c r="L20" s="56">
        <v>0</v>
      </c>
      <c r="M20" s="56">
        <v>0</v>
      </c>
      <c r="N20" s="56">
        <v>0</v>
      </c>
      <c r="O20" s="56">
        <v>0</v>
      </c>
      <c r="P20" s="56">
        <v>0</v>
      </c>
      <c r="Q20" s="56">
        <v>6</v>
      </c>
      <c r="R20" s="90"/>
    </row>
    <row r="21" customHeight="1" spans="1:18">
      <c r="A21" s="33"/>
      <c r="B21" s="33"/>
      <c r="C21" s="33"/>
      <c r="D21" s="33"/>
      <c r="E21" s="33"/>
      <c r="F21" s="33"/>
      <c r="G21" s="33"/>
      <c r="H21" s="33"/>
      <c r="I21" s="34"/>
      <c r="J21" s="34"/>
      <c r="K21" s="34"/>
      <c r="L21" s="34"/>
      <c r="M21" s="34"/>
      <c r="N21" s="34"/>
      <c r="O21" s="34"/>
      <c r="P21" s="34"/>
      <c r="Q21" s="34"/>
      <c r="R21" s="34"/>
    </row>
    <row r="22" customHeight="1" spans="1:18">
      <c r="A22" s="33"/>
      <c r="B22" s="33"/>
      <c r="C22" s="33"/>
      <c r="D22" s="33"/>
      <c r="E22" s="33"/>
      <c r="F22" s="33"/>
      <c r="G22" s="33"/>
      <c r="H22" s="33"/>
      <c r="I22" s="34"/>
      <c r="J22" s="34"/>
      <c r="K22" s="34"/>
      <c r="L22" s="34"/>
      <c r="M22" s="34"/>
      <c r="N22" s="34"/>
      <c r="O22" s="34"/>
      <c r="P22" s="34"/>
      <c r="Q22" s="34"/>
      <c r="R22" s="34"/>
    </row>
    <row r="23" customHeight="1" spans="1:18">
      <c r="A23" s="33"/>
      <c r="B23" s="33"/>
      <c r="C23" s="33"/>
      <c r="D23" s="33"/>
      <c r="E23" s="33"/>
      <c r="F23" s="33"/>
      <c r="G23" s="33"/>
      <c r="H23" s="33"/>
      <c r="I23" s="34"/>
      <c r="J23" s="34"/>
      <c r="K23" s="34"/>
      <c r="L23" s="34"/>
      <c r="M23" s="34"/>
      <c r="N23" s="34"/>
      <c r="O23" s="34"/>
      <c r="P23" s="34"/>
      <c r="Q23" s="34"/>
      <c r="R23" s="34"/>
    </row>
    <row r="24" customHeight="1" spans="1:18">
      <c r="A24" s="84"/>
      <c r="B24" s="81" t="s">
        <v>14</v>
      </c>
      <c r="C24" s="82" t="s">
        <v>6</v>
      </c>
      <c r="D24" s="82" t="s">
        <v>15</v>
      </c>
      <c r="E24" s="82" t="s">
        <v>16</v>
      </c>
      <c r="F24" s="82" t="s">
        <v>10</v>
      </c>
      <c r="G24" s="83" t="s">
        <v>17</v>
      </c>
      <c r="H24" s="91" t="s">
        <v>18</v>
      </c>
      <c r="I24" s="34"/>
      <c r="J24" s="34"/>
      <c r="K24" s="34"/>
      <c r="L24" s="34"/>
      <c r="M24" s="34"/>
      <c r="N24" s="34"/>
      <c r="O24" s="34"/>
      <c r="P24" s="34"/>
      <c r="Q24" s="34"/>
      <c r="R24" s="34"/>
    </row>
    <row r="25" customHeight="1" spans="1:18">
      <c r="A25" s="34"/>
      <c r="B25" s="62" t="str">
        <f>IFERROR(__xludf.DUMMYFUNCTION("QUERY(dados_02!$A$2:$H$675, ""SELECT Col1, Col2, Col3, Col4, Col5, Col6, Col7  where Col8 = 'REGIONAL 1' "")"),"02/02/2026 15:26:58")</f>
        <v>02/02/2026 15:26:58</v>
      </c>
      <c r="C25" s="63" t="str">
        <f>IFERROR(__xludf.DUMMYFUNCTION("""COMPUTED_VALUE"""),"1")</f>
        <v>1</v>
      </c>
      <c r="D25" s="34" t="str">
        <f>IFERROR(__xludf.DUMMYFUNCTION("""COMPUTED_VALUE"""),"D. L. D. A")</f>
        <v>D. L. D. A</v>
      </c>
      <c r="E25" s="64" t="str">
        <f>IFERROR(__xludf.DUMMYFUNCTION("""COMPUTED_VALUE"""),"14/05/2022")</f>
        <v>14/05/2022</v>
      </c>
      <c r="F25" s="34" t="str">
        <f>IFERROR(__xludf.DUMMYFUNCTION("""COMPUTED_VALUE"""),"181******32")</f>
        <v>181******32</v>
      </c>
      <c r="G25" s="34" t="str">
        <f>IFERROR(__xludf.DUMMYFUNCTION("""COMPUTED_VALUE"""),"INFANTIL 3")</f>
        <v>INFANTIL 3</v>
      </c>
      <c r="H25" s="34" t="str">
        <f>IFERROR(__xludf.DUMMYFUNCTION("""COMPUTED_VALUE"""),"CEMEI SANTO AMARO")</f>
        <v>CEMEI SANTO AMARO</v>
      </c>
      <c r="I25" s="34"/>
      <c r="J25" s="34"/>
      <c r="K25" s="34"/>
      <c r="L25" s="34"/>
      <c r="M25" s="34"/>
      <c r="N25" s="34"/>
      <c r="O25" s="34"/>
      <c r="P25" s="34"/>
      <c r="Q25" s="34"/>
      <c r="R25" s="34"/>
    </row>
    <row r="26" customHeight="1" spans="1:18">
      <c r="A26" s="34"/>
      <c r="B26" s="62" t="str">
        <f>IFERROR(__xludf.DUMMYFUNCTION("""COMPUTED_VALUE"""),"10/02/2026 08:09:45")</f>
        <v>10/02/2026 08:09:45</v>
      </c>
      <c r="C26" s="63" t="str">
        <f>IFERROR(__xludf.DUMMYFUNCTION("""COMPUTED_VALUE"""),"2")</f>
        <v>2</v>
      </c>
      <c r="D26" s="34" t="str">
        <f>IFERROR(__xludf.DUMMYFUNCTION("""COMPUTED_VALUE"""),"E. S. F. D. S")</f>
        <v>E. S. F. D. S</v>
      </c>
      <c r="E26" s="64" t="str">
        <f>IFERROR(__xludf.DUMMYFUNCTION("""COMPUTED_VALUE"""),"16/05/2022")</f>
        <v>16/05/2022</v>
      </c>
      <c r="F26" s="34" t="str">
        <f>IFERROR(__xludf.DUMMYFUNCTION("""COMPUTED_VALUE"""),"181******13")</f>
        <v>181******13</v>
      </c>
      <c r="G26" s="34" t="str">
        <f>IFERROR(__xludf.DUMMYFUNCTION("""COMPUTED_VALUE"""),"INFANTIL 3")</f>
        <v>INFANTIL 3</v>
      </c>
      <c r="H26" s="34" t="str">
        <f>IFERROR(__xludf.DUMMYFUNCTION("""COMPUTED_VALUE"""),"CEMEI SANTO AMARO")</f>
        <v>CEMEI SANTO AMARO</v>
      </c>
      <c r="I26" s="34"/>
      <c r="J26" s="34"/>
      <c r="K26" s="34"/>
      <c r="L26" s="34"/>
      <c r="M26" s="34"/>
      <c r="N26" s="34"/>
      <c r="O26" s="34"/>
      <c r="P26" s="34"/>
      <c r="Q26" s="34"/>
      <c r="R26" s="34"/>
    </row>
    <row r="27" customHeight="1" spans="1:18">
      <c r="A27" s="34"/>
      <c r="B27" s="62" t="str">
        <f>IFERROR(__xludf.DUMMYFUNCTION("""COMPUTED_VALUE"""),"24/02/2026 18:34:28")</f>
        <v>24/02/2026 18:34:28</v>
      </c>
      <c r="C27" s="63" t="str">
        <f>IFERROR(__xludf.DUMMYFUNCTION("""COMPUTED_VALUE"""),"3")</f>
        <v>3</v>
      </c>
      <c r="D27" s="34" t="str">
        <f>IFERROR(__xludf.DUMMYFUNCTION("""COMPUTED_VALUE"""),"T. F. L. D. S")</f>
        <v>T. F. L. D. S</v>
      </c>
      <c r="E27" s="64" t="str">
        <f>IFERROR(__xludf.DUMMYFUNCTION("""COMPUTED_VALUE"""),"12/04/2022")</f>
        <v>12/04/2022</v>
      </c>
      <c r="F27" s="34" t="str">
        <f>IFERROR(__xludf.DUMMYFUNCTION("""COMPUTED_VALUE"""),"181******81")</f>
        <v>181******81</v>
      </c>
      <c r="G27" s="34" t="str">
        <f>IFERROR(__xludf.DUMMYFUNCTION("""COMPUTED_VALUE"""),"INFANTIL 3")</f>
        <v>INFANTIL 3</v>
      </c>
      <c r="H27" s="34" t="str">
        <f>IFERROR(__xludf.DUMMYFUNCTION("""COMPUTED_VALUE"""),"CEMEI SANTO AMARO")</f>
        <v>CEMEI SANTO AMARO</v>
      </c>
      <c r="I27" s="34"/>
      <c r="J27" s="34"/>
      <c r="K27" s="34"/>
      <c r="L27" s="34"/>
      <c r="M27" s="34"/>
      <c r="N27" s="34"/>
      <c r="O27" s="34"/>
      <c r="P27" s="34"/>
      <c r="Q27" s="34"/>
      <c r="R27" s="34"/>
    </row>
    <row r="28" customHeight="1" spans="1:18">
      <c r="A28" s="34"/>
      <c r="B28" s="62" t="str">
        <f>IFERROR(__xludf.DUMMYFUNCTION("""COMPUTED_VALUE"""),"28/01/2026 10:34:12")</f>
        <v>28/01/2026 10:34:12</v>
      </c>
      <c r="C28" s="63" t="str">
        <f>IFERROR(__xludf.DUMMYFUNCTION("""COMPUTED_VALUE"""),"1")</f>
        <v>1</v>
      </c>
      <c r="D28" s="34" t="str">
        <f>IFERROR(__xludf.DUMMYFUNCTION("""COMPUTED_VALUE"""),"S. L")</f>
        <v>S. L</v>
      </c>
      <c r="E28" s="64" t="str">
        <f>IFERROR(__xludf.DUMMYFUNCTION("""COMPUTED_VALUE"""),"30/08/2022")</f>
        <v>30/08/2022</v>
      </c>
      <c r="F28" s="34" t="str">
        <f>IFERROR(__xludf.DUMMYFUNCTION("""COMPUTED_VALUE"""),"183******56")</f>
        <v>183******56</v>
      </c>
      <c r="G28" s="34" t="str">
        <f>IFERROR(__xludf.DUMMYFUNCTION("""COMPUTED_VALUE"""),"INFANTIL 3")</f>
        <v>INFANTIL 3</v>
      </c>
      <c r="H28" s="34" t="str">
        <f>IFERROR(__xludf.DUMMYFUNCTION("""COMPUTED_VALUE"""),"CEMEI SANTO AMARO")</f>
        <v>CEMEI SANTO AMARO</v>
      </c>
      <c r="I28" s="34"/>
      <c r="J28" s="34"/>
      <c r="K28" s="34"/>
      <c r="L28" s="34"/>
      <c r="M28" s="34"/>
      <c r="N28" s="34"/>
      <c r="O28" s="34"/>
      <c r="P28" s="34"/>
      <c r="Q28" s="34"/>
      <c r="R28" s="34"/>
    </row>
    <row r="29" customHeight="1" spans="1:18">
      <c r="A29" s="34"/>
      <c r="B29" s="62" t="str">
        <f>IFERROR(__xludf.DUMMYFUNCTION("""COMPUTED_VALUE"""),"24/02/2026 13:10:10")</f>
        <v>24/02/2026 13:10:10</v>
      </c>
      <c r="C29" s="63" t="str">
        <f>IFERROR(__xludf.DUMMYFUNCTION("""COMPUTED_VALUE"""),"2")</f>
        <v>2</v>
      </c>
      <c r="D29" s="34" t="str">
        <f>IFERROR(__xludf.DUMMYFUNCTION("""COMPUTED_VALUE"""),"G. G. D. S. R")</f>
        <v>G. G. D. S. R</v>
      </c>
      <c r="E29" s="64" t="str">
        <f>IFERROR(__xludf.DUMMYFUNCTION("""COMPUTED_VALUE"""),"12/12/2022")</f>
        <v>12/12/2022</v>
      </c>
      <c r="F29" s="34" t="str">
        <f>IFERROR(__xludf.DUMMYFUNCTION("""COMPUTED_VALUE"""),"607******92")</f>
        <v>607******92</v>
      </c>
      <c r="G29" s="34" t="str">
        <f>IFERROR(__xludf.DUMMYFUNCTION("""COMPUTED_VALUE"""),"INFANTIL 3")</f>
        <v>INFANTIL 3</v>
      </c>
      <c r="H29" s="34" t="str">
        <f>IFERROR(__xludf.DUMMYFUNCTION("""COMPUTED_VALUE"""),"CEMEI SANTO AMARO")</f>
        <v>CEMEI SANTO AMARO</v>
      </c>
      <c r="I29" s="34"/>
      <c r="J29" s="34"/>
      <c r="K29" s="34"/>
      <c r="L29" s="34"/>
      <c r="M29" s="34"/>
      <c r="N29" s="34"/>
      <c r="O29" s="34"/>
      <c r="P29" s="34"/>
      <c r="Q29" s="34"/>
      <c r="R29" s="34"/>
    </row>
    <row r="30" customHeight="1" spans="1:18">
      <c r="A30" s="34"/>
      <c r="B30" s="62" t="str">
        <f>IFERROR(__xludf.DUMMYFUNCTION("""COMPUTED_VALUE"""),"13/05/2026 19:48:23")</f>
        <v>13/05/2026 19:48:23</v>
      </c>
      <c r="C30" s="63" t="str">
        <f>IFERROR(__xludf.DUMMYFUNCTION("""COMPUTED_VALUE"""),"3")</f>
        <v>3</v>
      </c>
      <c r="D30" s="34" t="str">
        <f>IFERROR(__xludf.DUMMYFUNCTION("""COMPUTED_VALUE"""),"H. V. S. R")</f>
        <v>H. V. S. R</v>
      </c>
      <c r="E30" s="64" t="str">
        <f>IFERROR(__xludf.DUMMYFUNCTION("""COMPUTED_VALUE"""),"09/06/2022")</f>
        <v>09/06/2022</v>
      </c>
      <c r="F30" s="34" t="str">
        <f>IFERROR(__xludf.DUMMYFUNCTION("""COMPUTED_VALUE"""),"181******04")</f>
        <v>181******04</v>
      </c>
      <c r="G30" s="34" t="str">
        <f>IFERROR(__xludf.DUMMYFUNCTION("""COMPUTED_VALUE"""),"INFANTIL 3")</f>
        <v>INFANTIL 3</v>
      </c>
      <c r="H30" s="34" t="str">
        <f>IFERROR(__xludf.DUMMYFUNCTION("""COMPUTED_VALUE"""),"CEMEI SANTO AMARO")</f>
        <v>CEMEI SANTO AMARO</v>
      </c>
      <c r="I30" s="34"/>
      <c r="J30" s="34"/>
      <c r="K30" s="34"/>
      <c r="L30" s="34"/>
      <c r="M30" s="34"/>
      <c r="N30" s="34"/>
      <c r="O30" s="34"/>
      <c r="P30" s="34"/>
      <c r="Q30" s="34"/>
      <c r="R30" s="34"/>
    </row>
    <row r="31" customHeight="1" spans="1:18">
      <c r="A31" s="34"/>
      <c r="B31" s="62" t="str">
        <f>IFERROR(__xludf.DUMMYFUNCTION("""COMPUTED_VALUE"""),"20/05/2026 10:33:36")</f>
        <v>20/05/2026 10:33:36</v>
      </c>
      <c r="C31" s="63" t="str">
        <f>IFERROR(__xludf.DUMMYFUNCTION("""COMPUTED_VALUE"""),"4")</f>
        <v>4</v>
      </c>
      <c r="D31" s="34" t="str">
        <f>IFERROR(__xludf.DUMMYFUNCTION("""COMPUTED_VALUE"""),"B. C. D. I. G")</f>
        <v>B. C. D. I. G</v>
      </c>
      <c r="E31" s="64" t="str">
        <f>IFERROR(__xludf.DUMMYFUNCTION("""COMPUTED_VALUE"""),"02/11/2022")</f>
        <v>02/11/2022</v>
      </c>
      <c r="F31" s="34" t="str">
        <f>IFERROR(__xludf.DUMMYFUNCTION("""COMPUTED_VALUE"""),"183******74")</f>
        <v>183******74</v>
      </c>
      <c r="G31" s="34" t="str">
        <f>IFERROR(__xludf.DUMMYFUNCTION("""COMPUTED_VALUE"""),"INFANTIL 3")</f>
        <v>INFANTIL 3</v>
      </c>
      <c r="H31" s="34" t="str">
        <f>IFERROR(__xludf.DUMMYFUNCTION("""COMPUTED_VALUE"""),"CEMEI SANTO AMARO")</f>
        <v>CEMEI SANTO AMARO</v>
      </c>
      <c r="I31" s="34"/>
      <c r="J31" s="34"/>
      <c r="K31" s="34"/>
      <c r="L31" s="34"/>
      <c r="M31" s="34"/>
      <c r="N31" s="34"/>
      <c r="O31" s="34"/>
      <c r="P31" s="34"/>
      <c r="Q31" s="34"/>
      <c r="R31" s="34"/>
    </row>
    <row r="32" customHeight="1" spans="1:18">
      <c r="A32" s="34"/>
      <c r="B32" s="62" t="str">
        <f>IFERROR(__xludf.DUMMYFUNCTION("""COMPUTED_VALUE"""),"25/05/2026 08:40:05")</f>
        <v>25/05/2026 08:40:05</v>
      </c>
      <c r="C32" s="63" t="str">
        <f>IFERROR(__xludf.DUMMYFUNCTION("""COMPUTED_VALUE"""),"5")</f>
        <v>5</v>
      </c>
      <c r="D32" s="34" t="str">
        <f>IFERROR(__xludf.DUMMYFUNCTION("""COMPUTED_VALUE"""),"E. M. d. M. p")</f>
        <v>E. M. d. M. p</v>
      </c>
      <c r="E32" s="64" t="str">
        <f>IFERROR(__xludf.DUMMYFUNCTION("""COMPUTED_VALUE"""),"25/02/2023")</f>
        <v>25/02/2023</v>
      </c>
      <c r="F32" s="34" t="str">
        <f>IFERROR(__xludf.DUMMYFUNCTION("""COMPUTED_VALUE"""),"184******28")</f>
        <v>184******28</v>
      </c>
      <c r="G32" s="34" t="str">
        <f>IFERROR(__xludf.DUMMYFUNCTION("""COMPUTED_VALUE"""),"INFANTIL 3")</f>
        <v>INFANTIL 3</v>
      </c>
      <c r="H32" s="34" t="str">
        <f>IFERROR(__xludf.DUMMYFUNCTION("""COMPUTED_VALUE"""),"CEMEI SANTO AMARO")</f>
        <v>CEMEI SANTO AMARO</v>
      </c>
      <c r="I32" s="34"/>
      <c r="J32" s="34"/>
      <c r="K32" s="34"/>
      <c r="L32" s="34"/>
      <c r="M32" s="34"/>
      <c r="N32" s="34"/>
      <c r="O32" s="34"/>
      <c r="P32" s="34"/>
      <c r="Q32" s="34"/>
      <c r="R32" s="34"/>
    </row>
    <row r="33" customHeight="1" spans="1:18">
      <c r="A33" s="34"/>
      <c r="B33" s="62" t="str">
        <f>IFERROR(__xludf.DUMMYFUNCTION("""COMPUTED_VALUE"""),"29/01/2026 11:44:10")</f>
        <v>29/01/2026 11:44:10</v>
      </c>
      <c r="C33" s="63" t="str">
        <f>IFERROR(__xludf.DUMMYFUNCTION("""COMPUTED_VALUE"""),"1")</f>
        <v>1</v>
      </c>
      <c r="D33" s="34" t="str">
        <f>IFERROR(__xludf.DUMMYFUNCTION("""COMPUTED_VALUE"""),"H. R. D. S. D")</f>
        <v>H. R. D. S. D</v>
      </c>
      <c r="E33" s="64" t="str">
        <f>IFERROR(__xludf.DUMMYFUNCTION("""COMPUTED_VALUE"""),"08/02/2025")</f>
        <v>08/02/2025</v>
      </c>
      <c r="F33" s="34" t="str">
        <f>IFERROR(__xludf.DUMMYFUNCTION("""COMPUTED_VALUE"""),"005******71")</f>
        <v>005******71</v>
      </c>
      <c r="G33" s="34" t="str">
        <f>IFERROR(__xludf.DUMMYFUNCTION("""COMPUTED_VALUE"""),"INFANTIL 1")</f>
        <v>INFANTIL 1</v>
      </c>
      <c r="H33" s="34" t="str">
        <f>IFERROR(__xludf.DUMMYFUNCTION("""COMPUTED_VALUE"""),"CRECHE CIRANDA CIRANDINHA")</f>
        <v>CRECHE CIRANDA CIRANDINHA</v>
      </c>
      <c r="I33" s="34"/>
      <c r="J33" s="34"/>
      <c r="K33" s="34"/>
      <c r="L33" s="34"/>
      <c r="M33" s="34"/>
      <c r="N33" s="34"/>
      <c r="O33" s="34"/>
      <c r="P33" s="34"/>
      <c r="Q33" s="34"/>
      <c r="R33" s="34"/>
    </row>
    <row r="34" customHeight="1" spans="1:18">
      <c r="A34" s="34"/>
      <c r="B34" s="62" t="str">
        <f>IFERROR(__xludf.DUMMYFUNCTION("""COMPUTED_VALUE"""),"04/02/2026 13:14:32")</f>
        <v>04/02/2026 13:14:32</v>
      </c>
      <c r="C34" s="63" t="str">
        <f>IFERROR(__xludf.DUMMYFUNCTION("""COMPUTED_VALUE"""),"2")</f>
        <v>2</v>
      </c>
      <c r="D34" s="34" t="str">
        <f>IFERROR(__xludf.DUMMYFUNCTION("""COMPUTED_VALUE"""),"C. M. N. D. S")</f>
        <v>C. M. N. D. S</v>
      </c>
      <c r="E34" s="85" t="str">
        <f>IFERROR(__xludf.DUMMYFUNCTION("""COMPUTED_VALUE"""),"24/04/2024")</f>
        <v>24/04/2024</v>
      </c>
      <c r="F34" s="34" t="str">
        <f>IFERROR(__xludf.DUMMYFUNCTION("""COMPUTED_VALUE"""),"002******90")</f>
        <v>002******90</v>
      </c>
      <c r="G34" s="34" t="str">
        <f>IFERROR(__xludf.DUMMYFUNCTION("""COMPUTED_VALUE"""),"INFANTIL 1")</f>
        <v>INFANTIL 1</v>
      </c>
      <c r="H34" s="34" t="str">
        <f>IFERROR(__xludf.DUMMYFUNCTION("""COMPUTED_VALUE"""),"CRECHE CIRANDA CIRANDINHA")</f>
        <v>CRECHE CIRANDA CIRANDINHA</v>
      </c>
      <c r="I34" s="34"/>
      <c r="J34" s="34"/>
      <c r="K34" s="34"/>
      <c r="L34" s="34"/>
      <c r="M34" s="34"/>
      <c r="N34" s="34"/>
      <c r="O34" s="34"/>
      <c r="P34" s="34"/>
      <c r="Q34" s="34"/>
      <c r="R34" s="34"/>
    </row>
    <row r="35" customHeight="1" spans="1:18">
      <c r="A35" s="34"/>
      <c r="B35" s="62" t="str">
        <f>IFERROR(__xludf.DUMMYFUNCTION("""COMPUTED_VALUE"""),"19/02/2026 09:00:23")</f>
        <v>19/02/2026 09:00:23</v>
      </c>
      <c r="C35" s="63" t="str">
        <f>IFERROR(__xludf.DUMMYFUNCTION("""COMPUTED_VALUE"""),"3")</f>
        <v>3</v>
      </c>
      <c r="D35" s="34" t="str">
        <f>IFERROR(__xludf.DUMMYFUNCTION("""COMPUTED_VALUE"""),"R. L. D. S. S")</f>
        <v>R. L. D. S. S</v>
      </c>
      <c r="E35" s="64" t="str">
        <f>IFERROR(__xludf.DUMMYFUNCTION("""COMPUTED_VALUE"""),"12/05/2025")</f>
        <v>12/05/2025</v>
      </c>
      <c r="F35" s="34" t="str">
        <f>IFERROR(__xludf.DUMMYFUNCTION("""COMPUTED_VALUE"""),"006******35")</f>
        <v>006******35</v>
      </c>
      <c r="G35" s="34" t="str">
        <f>IFERROR(__xludf.DUMMYFUNCTION("""COMPUTED_VALUE"""),"INFANTIL 1")</f>
        <v>INFANTIL 1</v>
      </c>
      <c r="H35" s="34" t="str">
        <f>IFERROR(__xludf.DUMMYFUNCTION("""COMPUTED_VALUE"""),"CRECHE CIRANDA CIRANDINHA")</f>
        <v>CRECHE CIRANDA CIRANDINHA</v>
      </c>
      <c r="I35" s="34"/>
      <c r="J35" s="34"/>
      <c r="K35" s="34"/>
      <c r="L35" s="34"/>
      <c r="M35" s="34"/>
      <c r="N35" s="34"/>
      <c r="O35" s="34"/>
      <c r="P35" s="34"/>
      <c r="Q35" s="34"/>
      <c r="R35" s="34"/>
    </row>
    <row r="36" customHeight="1" spans="1:18">
      <c r="A36" s="34"/>
      <c r="B36" s="62" t="str">
        <f>IFERROR(__xludf.DUMMYFUNCTION("""COMPUTED_VALUE"""),"14/03/2026 10:04:37")</f>
        <v>14/03/2026 10:04:37</v>
      </c>
      <c r="C36" s="63" t="str">
        <f>IFERROR(__xludf.DUMMYFUNCTION("""COMPUTED_VALUE"""),"4")</f>
        <v>4</v>
      </c>
      <c r="D36" s="34" t="str">
        <f>IFERROR(__xludf.DUMMYFUNCTION("""COMPUTED_VALUE"""),"B. C")</f>
        <v>B. C</v>
      </c>
      <c r="E36" s="64" t="str">
        <f>IFERROR(__xludf.DUMMYFUNCTION("""COMPUTED_VALUE"""),"27/06/2024")</f>
        <v>27/06/2024</v>
      </c>
      <c r="F36" s="34" t="str">
        <f>IFERROR(__xludf.DUMMYFUNCTION("""COMPUTED_VALUE"""),"003******01")</f>
        <v>003******01</v>
      </c>
      <c r="G36" s="34" t="str">
        <f>IFERROR(__xludf.DUMMYFUNCTION("""COMPUTED_VALUE"""),"INFANTIL 1")</f>
        <v>INFANTIL 1</v>
      </c>
      <c r="H36" s="34" t="str">
        <f>IFERROR(__xludf.DUMMYFUNCTION("""COMPUTED_VALUE"""),"CRECHE CIRANDA CIRANDINHA")</f>
        <v>CRECHE CIRANDA CIRANDINHA</v>
      </c>
      <c r="I36" s="34"/>
      <c r="J36" s="34"/>
      <c r="K36" s="34"/>
      <c r="L36" s="34"/>
      <c r="M36" s="34"/>
      <c r="N36" s="34"/>
      <c r="O36" s="34"/>
      <c r="P36" s="34"/>
      <c r="Q36" s="34"/>
      <c r="R36" s="34"/>
    </row>
    <row r="37" customHeight="1" spans="1:18">
      <c r="A37" s="34"/>
      <c r="B37" s="62" t="str">
        <f>IFERROR(__xludf.DUMMYFUNCTION("""COMPUTED_VALUE"""),"30/03/2026 09:26:32")</f>
        <v>30/03/2026 09:26:32</v>
      </c>
      <c r="C37" s="63" t="str">
        <f>IFERROR(__xludf.DUMMYFUNCTION("""COMPUTED_VALUE"""),"5")</f>
        <v>5</v>
      </c>
      <c r="D37" s="34" t="str">
        <f>IFERROR(__xludf.DUMMYFUNCTION("""COMPUTED_VALUE"""),"B. M. D. S. A")</f>
        <v>B. M. D. S. A</v>
      </c>
      <c r="E37" s="64" t="str">
        <f>IFERROR(__xludf.DUMMYFUNCTION("""COMPUTED_VALUE"""),"03/04/2024")</f>
        <v>03/04/2024</v>
      </c>
      <c r="F37" s="34" t="str">
        <f>IFERROR(__xludf.DUMMYFUNCTION("""COMPUTED_VALUE"""),"002******88")</f>
        <v>002******88</v>
      </c>
      <c r="G37" s="34" t="str">
        <f>IFERROR(__xludf.DUMMYFUNCTION("""COMPUTED_VALUE"""),"INFANTIL 1")</f>
        <v>INFANTIL 1</v>
      </c>
      <c r="H37" s="34" t="str">
        <f>IFERROR(__xludf.DUMMYFUNCTION("""COMPUTED_VALUE"""),"CRECHE CIRANDA CIRANDINHA")</f>
        <v>CRECHE CIRANDA CIRANDINHA</v>
      </c>
      <c r="I37" s="34"/>
      <c r="J37" s="34"/>
      <c r="K37" s="34"/>
      <c r="L37" s="34"/>
      <c r="M37" s="34"/>
      <c r="N37" s="34"/>
      <c r="O37" s="34"/>
      <c r="P37" s="34"/>
      <c r="Q37" s="34"/>
      <c r="R37" s="34"/>
    </row>
    <row r="38" customHeight="1" spans="1:18">
      <c r="A38" s="34"/>
      <c r="B38" s="62" t="str">
        <f>IFERROR(__xludf.DUMMYFUNCTION("""COMPUTED_VALUE"""),"30/03/2026 09:26:32")</f>
        <v>30/03/2026 09:26:32</v>
      </c>
      <c r="C38" s="63" t="str">
        <f>IFERROR(__xludf.DUMMYFUNCTION("""COMPUTED_VALUE"""),"6")</f>
        <v>6</v>
      </c>
      <c r="D38" s="34" t="str">
        <f>IFERROR(__xludf.DUMMYFUNCTION("""COMPUTED_VALUE"""),"B. J. D. S. A")</f>
        <v>B. J. D. S. A</v>
      </c>
      <c r="E38" s="64" t="str">
        <f>IFERROR(__xludf.DUMMYFUNCTION("""COMPUTED_VALUE"""),"03/04/2024")</f>
        <v>03/04/2024</v>
      </c>
      <c r="F38" s="34" t="str">
        <f>IFERROR(__xludf.DUMMYFUNCTION("""COMPUTED_VALUE"""),"002******32")</f>
        <v>002******32</v>
      </c>
      <c r="G38" s="34" t="str">
        <f>IFERROR(__xludf.DUMMYFUNCTION("""COMPUTED_VALUE"""),"INFANTIL 1")</f>
        <v>INFANTIL 1</v>
      </c>
      <c r="H38" s="34" t="str">
        <f>IFERROR(__xludf.DUMMYFUNCTION("""COMPUTED_VALUE"""),"CRECHE CIRANDA CIRANDINHA")</f>
        <v>CRECHE CIRANDA CIRANDINHA</v>
      </c>
      <c r="I38" s="34"/>
      <c r="J38" s="34"/>
      <c r="K38" s="34"/>
      <c r="L38" s="34"/>
      <c r="M38" s="34"/>
      <c r="N38" s="34"/>
      <c r="O38" s="34"/>
      <c r="P38" s="34"/>
      <c r="Q38" s="34"/>
      <c r="R38" s="34"/>
    </row>
    <row r="39" customHeight="1" spans="1:18">
      <c r="A39" s="34"/>
      <c r="B39" s="62" t="str">
        <f>IFERROR(__xludf.DUMMYFUNCTION("""COMPUTED_VALUE"""),"29/04/2026 14:37:28")</f>
        <v>29/04/2026 14:37:28</v>
      </c>
      <c r="C39" s="63" t="str">
        <f>IFERROR(__xludf.DUMMYFUNCTION("""COMPUTED_VALUE"""),"7")</f>
        <v>7</v>
      </c>
      <c r="D39" s="34" t="str">
        <f>IFERROR(__xludf.DUMMYFUNCTION("""COMPUTED_VALUE"""),"K. R. B. D. B")</f>
        <v>K. R. B. D. B</v>
      </c>
      <c r="E39" s="64" t="str">
        <f>IFERROR(__xludf.DUMMYFUNCTION("""COMPUTED_VALUE"""),"14/01/2025")</f>
        <v>14/01/2025</v>
      </c>
      <c r="F39" s="34" t="str">
        <f>IFERROR(__xludf.DUMMYFUNCTION("""COMPUTED_VALUE"""),"006******40")</f>
        <v>006******40</v>
      </c>
      <c r="G39" s="34" t="str">
        <f>IFERROR(__xludf.DUMMYFUNCTION("""COMPUTED_VALUE"""),"INFANTIL 1")</f>
        <v>INFANTIL 1</v>
      </c>
      <c r="H39" s="34" t="str">
        <f>IFERROR(__xludf.DUMMYFUNCTION("""COMPUTED_VALUE"""),"CRECHE CIRANDA CIRANDINHA")</f>
        <v>CRECHE CIRANDA CIRANDINHA</v>
      </c>
      <c r="I39" s="34"/>
      <c r="J39" s="34"/>
      <c r="K39" s="34"/>
      <c r="L39" s="34"/>
      <c r="M39" s="34"/>
      <c r="N39" s="34"/>
      <c r="O39" s="34"/>
      <c r="P39" s="34"/>
      <c r="Q39" s="34"/>
      <c r="R39" s="34"/>
    </row>
    <row r="40" customHeight="1" spans="1:18">
      <c r="A40" s="34"/>
      <c r="B40" s="62" t="str">
        <f>IFERROR(__xludf.DUMMYFUNCTION("""COMPUTED_VALUE"""),"28/05/2026 16:17:10")</f>
        <v>28/05/2026 16:17:10</v>
      </c>
      <c r="C40" s="63" t="str">
        <f>IFERROR(__xludf.DUMMYFUNCTION("""COMPUTED_VALUE"""),"8")</f>
        <v>8</v>
      </c>
      <c r="D40" s="34" t="str">
        <f>IFERROR(__xludf.DUMMYFUNCTION("""COMPUTED_VALUE"""),"H. C. R. G")</f>
        <v>H. C. R. G</v>
      </c>
      <c r="E40" s="64" t="str">
        <f>IFERROR(__xludf.DUMMYFUNCTION("""COMPUTED_VALUE"""),"02/12/2024")</f>
        <v>02/12/2024</v>
      </c>
      <c r="F40" s="34" t="str">
        <f>IFERROR(__xludf.DUMMYFUNCTION("""COMPUTED_VALUE"""),"004******08")</f>
        <v>004******08</v>
      </c>
      <c r="G40" s="34" t="str">
        <f>IFERROR(__xludf.DUMMYFUNCTION("""COMPUTED_VALUE"""),"INFANTIL 1")</f>
        <v>INFANTIL 1</v>
      </c>
      <c r="H40" s="34" t="str">
        <f>IFERROR(__xludf.DUMMYFUNCTION("""COMPUTED_VALUE"""),"CRECHE CIRANDA CIRANDINHA")</f>
        <v>CRECHE CIRANDA CIRANDINHA</v>
      </c>
      <c r="I40" s="34"/>
      <c r="J40" s="34"/>
      <c r="K40" s="34"/>
      <c r="L40" s="34"/>
      <c r="M40" s="34"/>
      <c r="N40" s="34"/>
      <c r="O40" s="34"/>
      <c r="P40" s="34"/>
      <c r="Q40" s="34"/>
      <c r="R40" s="34"/>
    </row>
    <row r="41" customHeight="1" spans="1:18">
      <c r="A41" s="34"/>
      <c r="B41" s="62" t="str">
        <f>IFERROR(__xludf.DUMMYFUNCTION("""COMPUTED_VALUE"""),"02/02/2026 14:50:25")</f>
        <v>02/02/2026 14:50:25</v>
      </c>
      <c r="C41" s="63" t="str">
        <f>IFERROR(__xludf.DUMMYFUNCTION("""COMPUTED_VALUE"""),"1")</f>
        <v>1</v>
      </c>
      <c r="D41" s="34" t="str">
        <f>IFERROR(__xludf.DUMMYFUNCTION("""COMPUTED_VALUE"""),"A. T. A. M. D. M")</f>
        <v>A. T. A. M. D. M</v>
      </c>
      <c r="E41" s="64" t="str">
        <f>IFERROR(__xludf.DUMMYFUNCTION("""COMPUTED_VALUE"""),"04/10/2023")</f>
        <v>04/10/2023</v>
      </c>
      <c r="F41" s="34" t="str">
        <f>IFERROR(__xludf.DUMMYFUNCTION("""COMPUTED_VALUE"""),"000******96")</f>
        <v>000******96</v>
      </c>
      <c r="G41" s="34" t="str">
        <f>IFERROR(__xludf.DUMMYFUNCTION("""COMPUTED_VALUE"""),"INFANTIL 2")</f>
        <v>INFANTIL 2</v>
      </c>
      <c r="H41" s="34" t="str">
        <f>IFERROR(__xludf.DUMMYFUNCTION("""COMPUTED_VALUE"""),"CRECHE CIRANDA CIRANDINHA")</f>
        <v>CRECHE CIRANDA CIRANDINHA</v>
      </c>
      <c r="I41" s="34"/>
      <c r="J41" s="34"/>
      <c r="K41" s="34"/>
      <c r="L41" s="34"/>
      <c r="M41" s="34"/>
      <c r="N41" s="34"/>
      <c r="O41" s="34"/>
      <c r="P41" s="34"/>
      <c r="Q41" s="34"/>
      <c r="R41" s="34"/>
    </row>
    <row r="42" customHeight="1" spans="1:18">
      <c r="A42" s="34"/>
      <c r="B42" s="62" t="str">
        <f>IFERROR(__xludf.DUMMYFUNCTION("""COMPUTED_VALUE"""),"09/02/2026 08:21:00")</f>
        <v>09/02/2026 08:21:00</v>
      </c>
      <c r="C42" s="63" t="str">
        <f>IFERROR(__xludf.DUMMYFUNCTION("""COMPUTED_VALUE"""),"2")</f>
        <v>2</v>
      </c>
      <c r="D42" s="34" t="str">
        <f>IFERROR(__xludf.DUMMYFUNCTION("""COMPUTED_VALUE"""),"E. V. G. V")</f>
        <v>E. V. G. V</v>
      </c>
      <c r="E42" s="64" t="str">
        <f>IFERROR(__xludf.DUMMYFUNCTION("""COMPUTED_VALUE"""),"15/07/2023")</f>
        <v>15/07/2023</v>
      </c>
      <c r="F42" s="34" t="str">
        <f>IFERROR(__xludf.DUMMYFUNCTION("""COMPUTED_VALUE"""),"186******70")</f>
        <v>186******70</v>
      </c>
      <c r="G42" s="34" t="str">
        <f>IFERROR(__xludf.DUMMYFUNCTION("""COMPUTED_VALUE"""),"INFANTIL 2")</f>
        <v>INFANTIL 2</v>
      </c>
      <c r="H42" s="34" t="str">
        <f>IFERROR(__xludf.DUMMYFUNCTION("""COMPUTED_VALUE"""),"CRECHE CIRANDA CIRANDINHA")</f>
        <v>CRECHE CIRANDA CIRANDINHA</v>
      </c>
      <c r="I42" s="34"/>
      <c r="J42" s="34"/>
      <c r="K42" s="34"/>
      <c r="L42" s="34"/>
      <c r="M42" s="34"/>
      <c r="N42" s="34"/>
      <c r="O42" s="34"/>
      <c r="P42" s="34"/>
      <c r="Q42" s="34"/>
      <c r="R42" s="34"/>
    </row>
    <row r="43" customHeight="1" spans="1:18">
      <c r="A43" s="34"/>
      <c r="B43" s="34" t="str">
        <f>IFERROR(__xludf.DUMMYFUNCTION("""COMPUTED_VALUE"""),"05/04/2026 12:01:39")</f>
        <v>05/04/2026 12:01:39</v>
      </c>
      <c r="C43" s="63" t="str">
        <f>IFERROR(__xludf.DUMMYFUNCTION("""COMPUTED_VALUE"""),"3")</f>
        <v>3</v>
      </c>
      <c r="D43" s="34" t="str">
        <f>IFERROR(__xludf.DUMMYFUNCTION("""COMPUTED_VALUE"""),"B. R. M. T. D. S")</f>
        <v>B. R. M. T. D. S</v>
      </c>
      <c r="E43" s="34" t="str">
        <f>IFERROR(__xludf.DUMMYFUNCTION("""COMPUTED_VALUE"""),"28/01/2024")</f>
        <v>28/01/2024</v>
      </c>
      <c r="F43" s="34" t="str">
        <f>IFERROR(__xludf.DUMMYFUNCTION("""COMPUTED_VALUE"""),"001******62")</f>
        <v>001******62</v>
      </c>
      <c r="G43" s="34" t="str">
        <f>IFERROR(__xludf.DUMMYFUNCTION("""COMPUTED_VALUE"""),"INFANTIL 2")</f>
        <v>INFANTIL 2</v>
      </c>
      <c r="H43" s="34" t="str">
        <f>IFERROR(__xludf.DUMMYFUNCTION("""COMPUTED_VALUE"""),"CRECHE CIRANDA CIRANDINHA")</f>
        <v>CRECHE CIRANDA CIRANDINHA</v>
      </c>
      <c r="I43" s="34"/>
      <c r="J43" s="34"/>
      <c r="K43" s="34"/>
      <c r="L43" s="34"/>
      <c r="M43" s="34"/>
      <c r="N43" s="34"/>
      <c r="O43" s="34"/>
      <c r="P43" s="34"/>
      <c r="Q43" s="34"/>
      <c r="R43" s="34"/>
    </row>
    <row r="44" customHeight="1" spans="1:18">
      <c r="A44" s="34"/>
      <c r="B44" s="34" t="str">
        <f>IFERROR(__xludf.DUMMYFUNCTION("""COMPUTED_VALUE"""),"27/04/2026 12:48:07")</f>
        <v>27/04/2026 12:48:07</v>
      </c>
      <c r="C44" s="63" t="str">
        <f>IFERROR(__xludf.DUMMYFUNCTION("""COMPUTED_VALUE"""),"4")</f>
        <v>4</v>
      </c>
      <c r="D44" s="34" t="str">
        <f>IFERROR(__xludf.DUMMYFUNCTION("""COMPUTED_VALUE"""),"A. A. D. S. S")</f>
        <v>A. A. D. S. S</v>
      </c>
      <c r="E44" s="34" t="str">
        <f>IFERROR(__xludf.DUMMYFUNCTION("""COMPUTED_VALUE"""),"23/12/2023")</f>
        <v>23/12/2023</v>
      </c>
      <c r="F44" s="34" t="str">
        <f>IFERROR(__xludf.DUMMYFUNCTION("""COMPUTED_VALUE"""),"001******43")</f>
        <v>001******43</v>
      </c>
      <c r="G44" s="34" t="str">
        <f>IFERROR(__xludf.DUMMYFUNCTION("""COMPUTED_VALUE"""),"INFANTIL 2")</f>
        <v>INFANTIL 2</v>
      </c>
      <c r="H44" s="34" t="str">
        <f>IFERROR(__xludf.DUMMYFUNCTION("""COMPUTED_VALUE"""),"CRECHE CIRANDA CIRANDINHA")</f>
        <v>CRECHE CIRANDA CIRANDINHA</v>
      </c>
      <c r="I44" s="34"/>
      <c r="J44" s="34"/>
      <c r="K44" s="34"/>
      <c r="L44" s="34"/>
      <c r="M44" s="34"/>
      <c r="N44" s="34"/>
      <c r="O44" s="34"/>
      <c r="P44" s="34"/>
      <c r="Q44" s="34"/>
      <c r="R44" s="34"/>
    </row>
    <row r="45" customHeight="1" spans="1:18">
      <c r="A45" s="34"/>
      <c r="B45" s="34" t="str">
        <f>IFERROR(__xludf.DUMMYFUNCTION("""COMPUTED_VALUE"""),"15/05/2026 16:29:07")</f>
        <v>15/05/2026 16:29:07</v>
      </c>
      <c r="C45" s="63" t="str">
        <f>IFERROR(__xludf.DUMMYFUNCTION("""COMPUTED_VALUE"""),"5")</f>
        <v>5</v>
      </c>
      <c r="D45" s="34" t="str">
        <f>IFERROR(__xludf.DUMMYFUNCTION("""COMPUTED_VALUE"""),"A. M. L. D. S")</f>
        <v>A. M. L. D. S</v>
      </c>
      <c r="E45" s="34" t="str">
        <f>IFERROR(__xludf.DUMMYFUNCTION("""COMPUTED_VALUE"""),"18/02/2024")</f>
        <v>18/02/2024</v>
      </c>
      <c r="F45" s="34" t="str">
        <f>IFERROR(__xludf.DUMMYFUNCTION("""COMPUTED_VALUE"""),"002******01")</f>
        <v>002******01</v>
      </c>
      <c r="G45" s="34" t="str">
        <f>IFERROR(__xludf.DUMMYFUNCTION("""COMPUTED_VALUE"""),"INFANTIL 2")</f>
        <v>INFANTIL 2</v>
      </c>
      <c r="H45" s="34" t="str">
        <f>IFERROR(__xludf.DUMMYFUNCTION("""COMPUTED_VALUE"""),"CRECHE CIRANDA CIRANDINHA")</f>
        <v>CRECHE CIRANDA CIRANDINHA</v>
      </c>
      <c r="I45" s="34"/>
      <c r="J45" s="34"/>
      <c r="K45" s="34"/>
      <c r="L45" s="34"/>
      <c r="M45" s="34"/>
      <c r="N45" s="34"/>
      <c r="O45" s="34"/>
      <c r="P45" s="34"/>
      <c r="Q45" s="34"/>
      <c r="R45" s="34"/>
    </row>
    <row r="46" customHeight="1" spans="1:18">
      <c r="A46" s="34"/>
      <c r="B46" s="34" t="str">
        <f>IFERROR(__xludf.DUMMYFUNCTION("""COMPUTED_VALUE"""),"26/05/2026 14:30:52")</f>
        <v>26/05/2026 14:30:52</v>
      </c>
      <c r="C46" s="63" t="str">
        <f>IFERROR(__xludf.DUMMYFUNCTION("""COMPUTED_VALUE"""),"6")</f>
        <v>6</v>
      </c>
      <c r="D46" s="34" t="str">
        <f>IFERROR(__xludf.DUMMYFUNCTION("""COMPUTED_VALUE"""),"R. V. R. D. N")</f>
        <v>R. V. R. D. N</v>
      </c>
      <c r="E46" s="34" t="str">
        <f>IFERROR(__xludf.DUMMYFUNCTION("""COMPUTED_VALUE"""),"20/05/2023")</f>
        <v>20/05/2023</v>
      </c>
      <c r="F46" s="34" t="str">
        <f>IFERROR(__xludf.DUMMYFUNCTION("""COMPUTED_VALUE"""),"000******78")</f>
        <v>000******78</v>
      </c>
      <c r="G46" s="34" t="str">
        <f>IFERROR(__xludf.DUMMYFUNCTION("""COMPUTED_VALUE"""),"INFANTIL 2")</f>
        <v>INFANTIL 2</v>
      </c>
      <c r="H46" s="34" t="str">
        <f>IFERROR(__xludf.DUMMYFUNCTION("""COMPUTED_VALUE"""),"CRECHE CIRANDA CIRANDINHA")</f>
        <v>CRECHE CIRANDA CIRANDINHA</v>
      </c>
      <c r="I46" s="34"/>
      <c r="J46" s="34"/>
      <c r="K46" s="34"/>
      <c r="L46" s="34"/>
      <c r="M46" s="34"/>
      <c r="N46" s="34"/>
      <c r="O46" s="34"/>
      <c r="P46" s="34"/>
      <c r="Q46" s="34"/>
      <c r="R46" s="34"/>
    </row>
    <row r="47" customHeight="1" spans="1:18">
      <c r="A47" s="34"/>
      <c r="B47" s="34" t="str">
        <f>IFERROR(__xludf.DUMMYFUNCTION("""COMPUTED_VALUE"""),"28/01/2026 08:23:25")</f>
        <v>28/01/2026 08:23:25</v>
      </c>
      <c r="C47" s="63" t="str">
        <f>IFERROR(__xludf.DUMMYFUNCTION("""COMPUTED_VALUE"""),"1")</f>
        <v>1</v>
      </c>
      <c r="D47" s="34" t="str">
        <f>IFERROR(__xludf.DUMMYFUNCTION("""COMPUTED_VALUE"""),"L. M. D. S. N")</f>
        <v>L. M. D. S. N</v>
      </c>
      <c r="E47" s="34" t="str">
        <f>IFERROR(__xludf.DUMMYFUNCTION("""COMPUTED_VALUE"""),"18/02/2023")</f>
        <v>18/02/2023</v>
      </c>
      <c r="F47" s="34" t="str">
        <f>IFERROR(__xludf.DUMMYFUNCTION("""COMPUTED_VALUE"""),"184******96")</f>
        <v>184******96</v>
      </c>
      <c r="G47" s="34" t="str">
        <f>IFERROR(__xludf.DUMMYFUNCTION("""COMPUTED_VALUE"""),"INFANTIL 3")</f>
        <v>INFANTIL 3</v>
      </c>
      <c r="H47" s="34" t="str">
        <f>IFERROR(__xludf.DUMMYFUNCTION("""COMPUTED_VALUE"""),"CRECHE CIRANDA CIRANDINHA")</f>
        <v>CRECHE CIRANDA CIRANDINHA</v>
      </c>
      <c r="I47" s="34"/>
      <c r="J47" s="34"/>
      <c r="K47" s="34"/>
      <c r="L47" s="34"/>
      <c r="M47" s="34"/>
      <c r="N47" s="34"/>
      <c r="O47" s="34"/>
      <c r="P47" s="34"/>
      <c r="Q47" s="34"/>
      <c r="R47" s="34"/>
    </row>
    <row r="48" customHeight="1" spans="1:18">
      <c r="A48" s="34"/>
      <c r="B48" s="34" t="str">
        <f>IFERROR(__xludf.DUMMYFUNCTION("""COMPUTED_VALUE"""),"30/01/2026 09:24:54")</f>
        <v>30/01/2026 09:24:54</v>
      </c>
      <c r="C48" s="63" t="str">
        <f>IFERROR(__xludf.DUMMYFUNCTION("""COMPUTED_VALUE"""),"2")</f>
        <v>2</v>
      </c>
      <c r="D48" s="34" t="str">
        <f>IFERROR(__xludf.DUMMYFUNCTION("""COMPUTED_VALUE"""),"K. V. M. D. S")</f>
        <v>K. V. M. D. S</v>
      </c>
      <c r="E48" s="34" t="str">
        <f>IFERROR(__xludf.DUMMYFUNCTION("""COMPUTED_VALUE"""),"27/06/2022")</f>
        <v>27/06/2022</v>
      </c>
      <c r="F48" s="34" t="str">
        <f>IFERROR(__xludf.DUMMYFUNCTION("""COMPUTED_VALUE"""),"182******26")</f>
        <v>182******26</v>
      </c>
      <c r="G48" s="34" t="str">
        <f>IFERROR(__xludf.DUMMYFUNCTION("""COMPUTED_VALUE"""),"INFANTIL 3")</f>
        <v>INFANTIL 3</v>
      </c>
      <c r="H48" s="34" t="str">
        <f>IFERROR(__xludf.DUMMYFUNCTION("""COMPUTED_VALUE"""),"CRECHE CIRANDA CIRANDINHA")</f>
        <v>CRECHE CIRANDA CIRANDINHA</v>
      </c>
      <c r="I48" s="34"/>
      <c r="J48" s="34"/>
      <c r="K48" s="34"/>
      <c r="L48" s="34"/>
      <c r="M48" s="34"/>
      <c r="N48" s="34"/>
      <c r="O48" s="34"/>
      <c r="P48" s="34"/>
      <c r="Q48" s="34"/>
      <c r="R48" s="34"/>
    </row>
    <row r="49" customHeight="1" spans="1:18">
      <c r="A49" s="34"/>
      <c r="B49" s="34" t="str">
        <f>IFERROR(__xludf.DUMMYFUNCTION("""COMPUTED_VALUE"""),"02/02/2026 11:47:44")</f>
        <v>02/02/2026 11:47:44</v>
      </c>
      <c r="C49" s="63" t="str">
        <f>IFERROR(__xludf.DUMMYFUNCTION("""COMPUTED_VALUE"""),"3")</f>
        <v>3</v>
      </c>
      <c r="D49" s="34" t="str">
        <f>IFERROR(__xludf.DUMMYFUNCTION("""COMPUTED_VALUE"""),"C. H. A. F")</f>
        <v>C. H. A. F</v>
      </c>
      <c r="E49" s="34" t="str">
        <f>IFERROR(__xludf.DUMMYFUNCTION("""COMPUTED_VALUE"""),"29/01/2023")</f>
        <v>29/01/2023</v>
      </c>
      <c r="F49" s="34" t="str">
        <f>IFERROR(__xludf.DUMMYFUNCTION("""COMPUTED_VALUE"""),"185******90")</f>
        <v>185******90</v>
      </c>
      <c r="G49" s="34" t="str">
        <f>IFERROR(__xludf.DUMMYFUNCTION("""COMPUTED_VALUE"""),"INFANTIL 3")</f>
        <v>INFANTIL 3</v>
      </c>
      <c r="H49" s="34" t="str">
        <f>IFERROR(__xludf.DUMMYFUNCTION("""COMPUTED_VALUE"""),"CRECHE CIRANDA CIRANDINHA")</f>
        <v>CRECHE CIRANDA CIRANDINHA</v>
      </c>
      <c r="I49" s="34"/>
      <c r="J49" s="34"/>
      <c r="K49" s="34"/>
      <c r="L49" s="34"/>
      <c r="M49" s="34"/>
      <c r="N49" s="34"/>
      <c r="O49" s="34"/>
      <c r="P49" s="34"/>
      <c r="Q49" s="34"/>
      <c r="R49" s="34"/>
    </row>
    <row r="50" customHeight="1" spans="1:18">
      <c r="A50" s="34"/>
      <c r="B50" s="34" t="str">
        <f>IFERROR(__xludf.DUMMYFUNCTION("""COMPUTED_VALUE"""),"09/02/2026 19:24:03")</f>
        <v>09/02/2026 19:24:03</v>
      </c>
      <c r="C50" s="63" t="str">
        <f>IFERROR(__xludf.DUMMYFUNCTION("""COMPUTED_VALUE"""),"4")</f>
        <v>4</v>
      </c>
      <c r="D50" s="34" t="str">
        <f>IFERROR(__xludf.DUMMYFUNCTION("""COMPUTED_VALUE"""),"T. A. O. S")</f>
        <v>T. A. O. S</v>
      </c>
      <c r="E50" s="34" t="str">
        <f>IFERROR(__xludf.DUMMYFUNCTION("""COMPUTED_VALUE"""),"29/01/2023")</f>
        <v>29/01/2023</v>
      </c>
      <c r="F50" s="34" t="str">
        <f>IFERROR(__xludf.DUMMYFUNCTION("""COMPUTED_VALUE"""),"184******12")</f>
        <v>184******12</v>
      </c>
      <c r="G50" s="34" t="str">
        <f>IFERROR(__xludf.DUMMYFUNCTION("""COMPUTED_VALUE"""),"INFANTIL 3")</f>
        <v>INFANTIL 3</v>
      </c>
      <c r="H50" s="34" t="str">
        <f>IFERROR(__xludf.DUMMYFUNCTION("""COMPUTED_VALUE"""),"CRECHE CIRANDA CIRANDINHA")</f>
        <v>CRECHE CIRANDA CIRANDINHA</v>
      </c>
      <c r="I50" s="34"/>
      <c r="J50" s="34"/>
      <c r="K50" s="34"/>
      <c r="L50" s="34"/>
      <c r="M50" s="34"/>
      <c r="N50" s="34"/>
      <c r="O50" s="34"/>
      <c r="P50" s="34"/>
      <c r="Q50" s="34"/>
      <c r="R50" s="34"/>
    </row>
    <row r="51" customHeight="1" spans="1:18">
      <c r="A51" s="34"/>
      <c r="B51" s="34" t="str">
        <f>IFERROR(__xludf.DUMMYFUNCTION("""COMPUTED_VALUE"""),"26/02/2026 23:38:28")</f>
        <v>26/02/2026 23:38:28</v>
      </c>
      <c r="C51" s="63" t="str">
        <f>IFERROR(__xludf.DUMMYFUNCTION("""COMPUTED_VALUE"""),"5")</f>
        <v>5</v>
      </c>
      <c r="D51" s="34" t="str">
        <f>IFERROR(__xludf.DUMMYFUNCTION("""COMPUTED_VALUE"""),"C. E. D. S. R")</f>
        <v>C. E. D. S. R</v>
      </c>
      <c r="E51" s="34" t="str">
        <f>IFERROR(__xludf.DUMMYFUNCTION("""COMPUTED_VALUE"""),"04/06/2022")</f>
        <v>04/06/2022</v>
      </c>
      <c r="F51" s="34" t="str">
        <f>IFERROR(__xludf.DUMMYFUNCTION("""COMPUTED_VALUE"""),"181******48")</f>
        <v>181******48</v>
      </c>
      <c r="G51" s="34" t="str">
        <f>IFERROR(__xludf.DUMMYFUNCTION("""COMPUTED_VALUE"""),"INFANTIL 3")</f>
        <v>INFANTIL 3</v>
      </c>
      <c r="H51" s="34" t="str">
        <f>IFERROR(__xludf.DUMMYFUNCTION("""COMPUTED_VALUE"""),"CRECHE CIRANDA CIRANDINHA")</f>
        <v>CRECHE CIRANDA CIRANDINHA</v>
      </c>
      <c r="I51" s="34"/>
      <c r="J51" s="34"/>
      <c r="K51" s="34"/>
      <c r="L51" s="34"/>
      <c r="M51" s="34"/>
      <c r="N51" s="34"/>
      <c r="O51" s="34"/>
      <c r="P51" s="34"/>
      <c r="Q51" s="34"/>
      <c r="R51" s="34"/>
    </row>
    <row r="52" customHeight="1" spans="1:18">
      <c r="A52" s="34"/>
      <c r="B52" s="34" t="str">
        <f>IFERROR(__xludf.DUMMYFUNCTION("""COMPUTED_VALUE"""),"24/03/2026 10:37:29")</f>
        <v>24/03/2026 10:37:29</v>
      </c>
      <c r="C52" s="63" t="str">
        <f>IFERROR(__xludf.DUMMYFUNCTION("""COMPUTED_VALUE"""),"6")</f>
        <v>6</v>
      </c>
      <c r="D52" s="34" t="str">
        <f>IFERROR(__xludf.DUMMYFUNCTION("""COMPUTED_VALUE"""),"R. M. S. C. F")</f>
        <v>R. M. S. C. F</v>
      </c>
      <c r="E52" s="34" t="str">
        <f>IFERROR(__xludf.DUMMYFUNCTION("""COMPUTED_VALUE"""),"20/08/2022")</f>
        <v>20/08/2022</v>
      </c>
      <c r="F52" s="34" t="str">
        <f>IFERROR(__xludf.DUMMYFUNCTION("""COMPUTED_VALUE"""),"182******17")</f>
        <v>182******17</v>
      </c>
      <c r="G52" s="34" t="str">
        <f>IFERROR(__xludf.DUMMYFUNCTION("""COMPUTED_VALUE"""),"INFANTIL 3")</f>
        <v>INFANTIL 3</v>
      </c>
      <c r="H52" s="34" t="str">
        <f>IFERROR(__xludf.DUMMYFUNCTION("""COMPUTED_VALUE"""),"CRECHE CIRANDA CIRANDINHA")</f>
        <v>CRECHE CIRANDA CIRANDINHA</v>
      </c>
      <c r="I52" s="34"/>
      <c r="J52" s="34"/>
      <c r="K52" s="34"/>
      <c r="L52" s="34"/>
      <c r="M52" s="34"/>
      <c r="N52" s="34"/>
      <c r="O52" s="34"/>
      <c r="P52" s="34"/>
      <c r="Q52" s="34"/>
      <c r="R52" s="34"/>
    </row>
    <row r="53" customHeight="1" spans="1:18">
      <c r="A53" s="34"/>
      <c r="B53" s="34" t="str">
        <f>IFERROR(__xludf.DUMMYFUNCTION("""COMPUTED_VALUE"""),"23/04/2026 12:52:15")</f>
        <v>23/04/2026 12:52:15</v>
      </c>
      <c r="C53" s="63" t="str">
        <f>IFERROR(__xludf.DUMMYFUNCTION("""COMPUTED_VALUE"""),"7")</f>
        <v>7</v>
      </c>
      <c r="D53" s="34" t="str">
        <f>IFERROR(__xludf.DUMMYFUNCTION("""COMPUTED_VALUE"""),"Y. M. D. S. G")</f>
        <v>Y. M. D. S. G</v>
      </c>
      <c r="E53" s="34" t="str">
        <f>IFERROR(__xludf.DUMMYFUNCTION("""COMPUTED_VALUE"""),"20/05/2022")</f>
        <v>20/05/2022</v>
      </c>
      <c r="F53" s="34" t="str">
        <f>IFERROR(__xludf.DUMMYFUNCTION("""COMPUTED_VALUE"""),"181******04")</f>
        <v>181******04</v>
      </c>
      <c r="G53" s="34" t="str">
        <f>IFERROR(__xludf.DUMMYFUNCTION("""COMPUTED_VALUE"""),"INFANTIL 3")</f>
        <v>INFANTIL 3</v>
      </c>
      <c r="H53" s="34" t="str">
        <f>IFERROR(__xludf.DUMMYFUNCTION("""COMPUTED_VALUE"""),"CRECHE CIRANDA CIRANDINHA")</f>
        <v>CRECHE CIRANDA CIRANDINHA</v>
      </c>
      <c r="I53" s="34"/>
      <c r="J53" s="34"/>
      <c r="K53" s="34"/>
      <c r="L53" s="34"/>
      <c r="M53" s="34"/>
      <c r="N53" s="34"/>
      <c r="O53" s="34"/>
      <c r="P53" s="34"/>
      <c r="Q53" s="34"/>
      <c r="R53" s="34"/>
    </row>
    <row r="54" customHeight="1" spans="1:18">
      <c r="A54" s="34"/>
      <c r="B54" s="34" t="str">
        <f>IFERROR(__xludf.DUMMYFUNCTION("""COMPUTED_VALUE"""),"23/02/2026 09:25:20")</f>
        <v>23/02/2026 09:25:20</v>
      </c>
      <c r="C54" s="63" t="str">
        <f>IFERROR(__xludf.DUMMYFUNCTION("""COMPUTED_VALUE"""),"1")</f>
        <v>1</v>
      </c>
      <c r="D54" s="34" t="str">
        <f>IFERROR(__xludf.DUMMYFUNCTION("""COMPUTED_VALUE"""),"L. E. C. D. O")</f>
        <v>L. E. C. D. O</v>
      </c>
      <c r="E54" s="34" t="str">
        <f>IFERROR(__xludf.DUMMYFUNCTION("""COMPUTED_VALUE"""),"08/07/2024")</f>
        <v>08/07/2024</v>
      </c>
      <c r="F54" s="34" t="str">
        <f>IFERROR(__xludf.DUMMYFUNCTION("""COMPUTED_VALUE"""),"003******55")</f>
        <v>003******55</v>
      </c>
      <c r="G54" s="34" t="str">
        <f>IFERROR(__xludf.DUMMYFUNCTION("""COMPUTED_VALUE"""),"INFANTIL 1")</f>
        <v>INFANTIL 1</v>
      </c>
      <c r="H54" s="34" t="str">
        <f>IFERROR(__xludf.DUMMYFUNCTION("""COMPUTED_VALUE"""),"CRECHE MUNICIPAL PROFESSORA MARIA RITA LINS MARTINS")</f>
        <v>CRECHE MUNICIPAL PROFESSORA MARIA RITA LINS MARTINS</v>
      </c>
      <c r="I54" s="34"/>
      <c r="J54" s="34"/>
      <c r="K54" s="34"/>
      <c r="L54" s="34"/>
      <c r="M54" s="34"/>
      <c r="N54" s="34"/>
      <c r="O54" s="34"/>
      <c r="P54" s="34"/>
      <c r="Q54" s="34"/>
      <c r="R54" s="34"/>
    </row>
    <row r="55" customHeight="1" spans="1:18">
      <c r="A55" s="34"/>
      <c r="B55" s="34" t="str">
        <f>IFERROR(__xludf.DUMMYFUNCTION("""COMPUTED_VALUE"""),"23/02/2026 22:06:49")</f>
        <v>23/02/2026 22:06:49</v>
      </c>
      <c r="C55" s="63" t="str">
        <f>IFERROR(__xludf.DUMMYFUNCTION("""COMPUTED_VALUE"""),"2")</f>
        <v>2</v>
      </c>
      <c r="D55" s="34" t="str">
        <f>IFERROR(__xludf.DUMMYFUNCTION("""COMPUTED_VALUE"""),"B. S. S. D. S")</f>
        <v>B. S. S. D. S</v>
      </c>
      <c r="E55" s="34" t="str">
        <f>IFERROR(__xludf.DUMMYFUNCTION("""COMPUTED_VALUE"""),"13/09/2024")</f>
        <v>13/09/2024</v>
      </c>
      <c r="F55" s="34" t="str">
        <f>IFERROR(__xludf.DUMMYFUNCTION("""COMPUTED_VALUE"""),"004******73")</f>
        <v>004******73</v>
      </c>
      <c r="G55" s="34" t="str">
        <f>IFERROR(__xludf.DUMMYFUNCTION("""COMPUTED_VALUE"""),"INFANTIL 1")</f>
        <v>INFANTIL 1</v>
      </c>
      <c r="H55" s="34" t="str">
        <f>IFERROR(__xludf.DUMMYFUNCTION("""COMPUTED_VALUE"""),"CRECHE MUNICIPAL PROFESSORA MARIA RITA LINS MARTINS")</f>
        <v>CRECHE MUNICIPAL PROFESSORA MARIA RITA LINS MARTINS</v>
      </c>
      <c r="I55" s="34"/>
      <c r="J55" s="34"/>
      <c r="K55" s="34"/>
      <c r="L55" s="34"/>
      <c r="M55" s="34"/>
      <c r="N55" s="34"/>
      <c r="O55" s="34"/>
      <c r="P55" s="34"/>
      <c r="Q55" s="34"/>
      <c r="R55" s="34"/>
    </row>
    <row r="56" customHeight="1" spans="1:18">
      <c r="A56" s="34"/>
      <c r="B56" s="34" t="str">
        <f>IFERROR(__xludf.DUMMYFUNCTION("""COMPUTED_VALUE"""),"24/02/2026 10:47:32")</f>
        <v>24/02/2026 10:47:32</v>
      </c>
      <c r="C56" s="63" t="str">
        <f>IFERROR(__xludf.DUMMYFUNCTION("""COMPUTED_VALUE"""),"3")</f>
        <v>3</v>
      </c>
      <c r="D56" s="34" t="str">
        <f>IFERROR(__xludf.DUMMYFUNCTION("""COMPUTED_VALUE"""),"M. H. D. S. M")</f>
        <v>M. H. D. S. M</v>
      </c>
      <c r="E56" s="34" t="str">
        <f>IFERROR(__xludf.DUMMYFUNCTION("""COMPUTED_VALUE"""),"17/08/2024")</f>
        <v>17/08/2024</v>
      </c>
      <c r="F56" s="34" t="str">
        <f>IFERROR(__xludf.DUMMYFUNCTION("""COMPUTED_VALUE"""),"003******21")</f>
        <v>003******21</v>
      </c>
      <c r="G56" s="34" t="str">
        <f>IFERROR(__xludf.DUMMYFUNCTION("""COMPUTED_VALUE"""),"INFANTIL 1")</f>
        <v>INFANTIL 1</v>
      </c>
      <c r="H56" s="34" t="str">
        <f>IFERROR(__xludf.DUMMYFUNCTION("""COMPUTED_VALUE"""),"CRECHE MUNICIPAL PROFESSORA MARIA RITA LINS MARTINS")</f>
        <v>CRECHE MUNICIPAL PROFESSORA MARIA RITA LINS MARTINS</v>
      </c>
      <c r="I56" s="34"/>
      <c r="J56" s="34"/>
      <c r="K56" s="34"/>
      <c r="L56" s="34"/>
      <c r="M56" s="34"/>
      <c r="N56" s="34"/>
      <c r="O56" s="34"/>
      <c r="P56" s="34"/>
      <c r="Q56" s="34"/>
      <c r="R56" s="34"/>
    </row>
    <row r="57" customHeight="1" spans="1:18">
      <c r="A57" s="34"/>
      <c r="B57" s="34" t="str">
        <f>IFERROR(__xludf.DUMMYFUNCTION("""COMPUTED_VALUE"""),"10/05/2026 13:51:20")</f>
        <v>10/05/2026 13:51:20</v>
      </c>
      <c r="C57" s="63" t="str">
        <f>IFERROR(__xludf.DUMMYFUNCTION("""COMPUTED_VALUE"""),"4")</f>
        <v>4</v>
      </c>
      <c r="D57" s="34" t="str">
        <f>IFERROR(__xludf.DUMMYFUNCTION("""COMPUTED_VALUE"""),"L. M. D. S")</f>
        <v>L. M. D. S</v>
      </c>
      <c r="E57" s="34" t="str">
        <f>IFERROR(__xludf.DUMMYFUNCTION("""COMPUTED_VALUE"""),"21/03/2025")</f>
        <v>21/03/2025</v>
      </c>
      <c r="F57" s="34" t="str">
        <f>IFERROR(__xludf.DUMMYFUNCTION("""COMPUTED_VALUE"""),"007******01")</f>
        <v>007******01</v>
      </c>
      <c r="G57" s="34" t="str">
        <f>IFERROR(__xludf.DUMMYFUNCTION("""COMPUTED_VALUE"""),"INFANTIL 1")</f>
        <v>INFANTIL 1</v>
      </c>
      <c r="H57" s="34" t="str">
        <f>IFERROR(__xludf.DUMMYFUNCTION("""COMPUTED_VALUE"""),"CRECHE MUNICIPAL PROFESSORA MARIA RITA LINS MARTINS")</f>
        <v>CRECHE MUNICIPAL PROFESSORA MARIA RITA LINS MARTINS</v>
      </c>
      <c r="I57" s="34"/>
      <c r="J57" s="34"/>
      <c r="K57" s="34"/>
      <c r="L57" s="34"/>
      <c r="M57" s="34"/>
      <c r="N57" s="34"/>
      <c r="O57" s="34"/>
      <c r="P57" s="34"/>
      <c r="Q57" s="34"/>
      <c r="R57" s="34"/>
    </row>
    <row r="58" customHeight="1" spans="1:18">
      <c r="A58" s="34"/>
      <c r="B58" s="34" t="str">
        <f>IFERROR(__xludf.DUMMYFUNCTION("""COMPUTED_VALUE"""),"30/01/2026 13:46:37")</f>
        <v>30/01/2026 13:46:37</v>
      </c>
      <c r="C58" s="63" t="str">
        <f>IFERROR(__xludf.DUMMYFUNCTION("""COMPUTED_VALUE"""),"1")</f>
        <v>1</v>
      </c>
      <c r="D58" s="34" t="str">
        <f>IFERROR(__xludf.DUMMYFUNCTION("""COMPUTED_VALUE"""),"L. M. D. S. P")</f>
        <v>L. M. D. S. P</v>
      </c>
      <c r="E58" s="34" t="str">
        <f>IFERROR(__xludf.DUMMYFUNCTION("""COMPUTED_VALUE"""),"24/01/2024")</f>
        <v>24/01/2024</v>
      </c>
      <c r="F58" s="34" t="str">
        <f>IFERROR(__xludf.DUMMYFUNCTION("""COMPUTED_VALUE"""),"001******95")</f>
        <v>001******95</v>
      </c>
      <c r="G58" s="34" t="str">
        <f>IFERROR(__xludf.DUMMYFUNCTION("""COMPUTED_VALUE"""),"INFANTIL 2")</f>
        <v>INFANTIL 2</v>
      </c>
      <c r="H58" s="34" t="str">
        <f>IFERROR(__xludf.DUMMYFUNCTION("""COMPUTED_VALUE"""),"CRECHE MUNICIPAL PROFESSORA MARIA RITA LINS MARTINS")</f>
        <v>CRECHE MUNICIPAL PROFESSORA MARIA RITA LINS MARTINS</v>
      </c>
      <c r="I58" s="34"/>
      <c r="J58" s="34"/>
      <c r="K58" s="34"/>
      <c r="L58" s="34"/>
      <c r="M58" s="34"/>
      <c r="N58" s="34"/>
      <c r="O58" s="34"/>
      <c r="P58" s="34"/>
      <c r="Q58" s="34"/>
      <c r="R58" s="34"/>
    </row>
    <row r="59" customHeight="1" spans="1:18">
      <c r="A59" s="34"/>
      <c r="B59" s="34" t="str">
        <f>IFERROR(__xludf.DUMMYFUNCTION("""COMPUTED_VALUE"""),"08/03/2026 00:13:08")</f>
        <v>08/03/2026 00:13:08</v>
      </c>
      <c r="C59" s="63" t="str">
        <f>IFERROR(__xludf.DUMMYFUNCTION("""COMPUTED_VALUE"""),"2")</f>
        <v>2</v>
      </c>
      <c r="D59" s="34" t="str">
        <f>IFERROR(__xludf.DUMMYFUNCTION("""COMPUTED_VALUE"""),"H. G. S. G. D. S")</f>
        <v>H. G. S. G. D. S</v>
      </c>
      <c r="E59" s="34" t="str">
        <f>IFERROR(__xludf.DUMMYFUNCTION("""COMPUTED_VALUE"""),"19/07/2023")</f>
        <v>19/07/2023</v>
      </c>
      <c r="F59" s="34" t="str">
        <f>IFERROR(__xludf.DUMMYFUNCTION("""COMPUTED_VALUE"""),"186******81")</f>
        <v>186******81</v>
      </c>
      <c r="G59" s="34" t="str">
        <f>IFERROR(__xludf.DUMMYFUNCTION("""COMPUTED_VALUE"""),"INFANTIL 2")</f>
        <v>INFANTIL 2</v>
      </c>
      <c r="H59" s="34" t="str">
        <f>IFERROR(__xludf.DUMMYFUNCTION("""COMPUTED_VALUE"""),"CRECHE MUNICIPAL PROFESSORA MARIA RITA LINS MARTINS")</f>
        <v>CRECHE MUNICIPAL PROFESSORA MARIA RITA LINS MARTINS</v>
      </c>
      <c r="I59" s="34"/>
      <c r="J59" s="34"/>
      <c r="K59" s="34"/>
      <c r="L59" s="34"/>
      <c r="M59" s="34"/>
      <c r="N59" s="34"/>
      <c r="O59" s="34"/>
      <c r="P59" s="34"/>
      <c r="Q59" s="34"/>
      <c r="R59" s="34"/>
    </row>
    <row r="60" customHeight="1" spans="1:18">
      <c r="A60" s="34"/>
      <c r="B60" s="34" t="str">
        <f>IFERROR(__xludf.DUMMYFUNCTION("""COMPUTED_VALUE"""),"11/03/2026 10:30:16")</f>
        <v>11/03/2026 10:30:16</v>
      </c>
      <c r="C60" s="63" t="str">
        <f>IFERROR(__xludf.DUMMYFUNCTION("""COMPUTED_VALUE"""),"3")</f>
        <v>3</v>
      </c>
      <c r="D60" s="34" t="str">
        <f>IFERROR(__xludf.DUMMYFUNCTION("""COMPUTED_VALUE"""),"L. S. P")</f>
        <v>L. S. P</v>
      </c>
      <c r="E60" s="34" t="str">
        <f>IFERROR(__xludf.DUMMYFUNCTION("""COMPUTED_VALUE"""),"11/12/2023")</f>
        <v>11/12/2023</v>
      </c>
      <c r="F60" s="34" t="str">
        <f>IFERROR(__xludf.DUMMYFUNCTION("""COMPUTED_VALUE"""),"001******48")</f>
        <v>001******48</v>
      </c>
      <c r="G60" s="34" t="str">
        <f>IFERROR(__xludf.DUMMYFUNCTION("""COMPUTED_VALUE"""),"INFANTIL 2")</f>
        <v>INFANTIL 2</v>
      </c>
      <c r="H60" s="34" t="str">
        <f>IFERROR(__xludf.DUMMYFUNCTION("""COMPUTED_VALUE"""),"CRECHE MUNICIPAL PROFESSORA MARIA RITA LINS MARTINS")</f>
        <v>CRECHE MUNICIPAL PROFESSORA MARIA RITA LINS MARTINS</v>
      </c>
      <c r="I60" s="34"/>
      <c r="J60" s="34"/>
      <c r="K60" s="34"/>
      <c r="L60" s="34"/>
      <c r="M60" s="34"/>
      <c r="N60" s="34"/>
      <c r="O60" s="34"/>
      <c r="P60" s="34"/>
      <c r="Q60" s="34"/>
      <c r="R60" s="34"/>
    </row>
    <row r="61" customHeight="1" spans="1:18">
      <c r="A61" s="34"/>
      <c r="B61" s="34" t="str">
        <f>IFERROR(__xludf.DUMMYFUNCTION("""COMPUTED_VALUE"""),"17/03/2026 08:58:14")</f>
        <v>17/03/2026 08:58:14</v>
      </c>
      <c r="C61" s="63" t="str">
        <f>IFERROR(__xludf.DUMMYFUNCTION("""COMPUTED_VALUE"""),"4")</f>
        <v>4</v>
      </c>
      <c r="D61" s="34" t="str">
        <f>IFERROR(__xludf.DUMMYFUNCTION("""COMPUTED_VALUE"""),"L. R. D. L")</f>
        <v>L. R. D. L</v>
      </c>
      <c r="E61" s="34" t="str">
        <f>IFERROR(__xludf.DUMMYFUNCTION("""COMPUTED_VALUE"""),"09/03/2024")</f>
        <v>09/03/2024</v>
      </c>
      <c r="F61" s="34" t="str">
        <f>IFERROR(__xludf.DUMMYFUNCTION("""COMPUTED_VALUE"""),"001******96")</f>
        <v>001******96</v>
      </c>
      <c r="G61" s="34" t="str">
        <f>IFERROR(__xludf.DUMMYFUNCTION("""COMPUTED_VALUE"""),"INFANTIL 2")</f>
        <v>INFANTIL 2</v>
      </c>
      <c r="H61" s="34" t="str">
        <f>IFERROR(__xludf.DUMMYFUNCTION("""COMPUTED_VALUE"""),"CRECHE MUNICIPAL PROFESSORA MARIA RITA LINS MARTINS")</f>
        <v>CRECHE MUNICIPAL PROFESSORA MARIA RITA LINS MARTINS</v>
      </c>
      <c r="I61" s="34"/>
      <c r="J61" s="34"/>
      <c r="K61" s="34"/>
      <c r="L61" s="34"/>
      <c r="M61" s="34"/>
      <c r="N61" s="34"/>
      <c r="O61" s="34"/>
      <c r="P61" s="34"/>
      <c r="Q61" s="34"/>
      <c r="R61" s="34"/>
    </row>
    <row r="62" customHeight="1" spans="1:18">
      <c r="A62" s="34"/>
      <c r="B62" s="34" t="str">
        <f>IFERROR(__xludf.DUMMYFUNCTION("""COMPUTED_VALUE"""),"16/04/2026 17:20:01")</f>
        <v>16/04/2026 17:20:01</v>
      </c>
      <c r="C62" s="63" t="str">
        <f>IFERROR(__xludf.DUMMYFUNCTION("""COMPUTED_VALUE"""),"5")</f>
        <v>5</v>
      </c>
      <c r="D62" s="34" t="str">
        <f>IFERROR(__xludf.DUMMYFUNCTION("""COMPUTED_VALUE"""),"M. C. D. S. C. M")</f>
        <v>M. C. D. S. C. M</v>
      </c>
      <c r="E62" s="34" t="str">
        <f>IFERROR(__xludf.DUMMYFUNCTION("""COMPUTED_VALUE"""),"17/04/2023")</f>
        <v>17/04/2023</v>
      </c>
      <c r="F62" s="34" t="str">
        <f>IFERROR(__xludf.DUMMYFUNCTION("""COMPUTED_VALUE"""),"185******46")</f>
        <v>185******46</v>
      </c>
      <c r="G62" s="34" t="str">
        <f>IFERROR(__xludf.DUMMYFUNCTION("""COMPUTED_VALUE"""),"INFANTIL 2")</f>
        <v>INFANTIL 2</v>
      </c>
      <c r="H62" s="34" t="str">
        <f>IFERROR(__xludf.DUMMYFUNCTION("""COMPUTED_VALUE"""),"CRECHE MUNICIPAL PROFESSORA MARIA RITA LINS MARTINS")</f>
        <v>CRECHE MUNICIPAL PROFESSORA MARIA RITA LINS MARTINS</v>
      </c>
      <c r="I62" s="34"/>
      <c r="J62" s="34"/>
      <c r="K62" s="34"/>
      <c r="L62" s="34"/>
      <c r="M62" s="34"/>
      <c r="N62" s="34"/>
      <c r="O62" s="34"/>
      <c r="P62" s="34"/>
      <c r="Q62" s="34"/>
      <c r="R62" s="34"/>
    </row>
    <row r="63" customHeight="1" spans="1:18">
      <c r="A63" s="34"/>
      <c r="B63" s="34" t="str">
        <f>IFERROR(__xludf.DUMMYFUNCTION("""COMPUTED_VALUE"""),"13/05/2026 08:10:15")</f>
        <v>13/05/2026 08:10:15</v>
      </c>
      <c r="C63" s="63" t="str">
        <f>IFERROR(__xludf.DUMMYFUNCTION("""COMPUTED_VALUE"""),"6")</f>
        <v>6</v>
      </c>
      <c r="D63" s="34" t="str">
        <f>IFERROR(__xludf.DUMMYFUNCTION("""COMPUTED_VALUE"""),"T. M. O. D. S")</f>
        <v>T. M. O. D. S</v>
      </c>
      <c r="E63" s="34" t="str">
        <f>IFERROR(__xludf.DUMMYFUNCTION("""COMPUTED_VALUE"""),"16/08/2023")</f>
        <v>16/08/2023</v>
      </c>
      <c r="F63" s="34" t="str">
        <f>IFERROR(__xludf.DUMMYFUNCTION("""COMPUTED_VALUE"""),"186******46")</f>
        <v>186******46</v>
      </c>
      <c r="G63" s="34" t="str">
        <f>IFERROR(__xludf.DUMMYFUNCTION("""COMPUTED_VALUE"""),"INFANTIL 2")</f>
        <v>INFANTIL 2</v>
      </c>
      <c r="H63" s="34" t="str">
        <f>IFERROR(__xludf.DUMMYFUNCTION("""COMPUTED_VALUE"""),"CRECHE MUNICIPAL PROFESSORA MARIA RITA LINS MARTINS")</f>
        <v>CRECHE MUNICIPAL PROFESSORA MARIA RITA LINS MARTINS</v>
      </c>
      <c r="I63" s="34"/>
      <c r="J63" s="34"/>
      <c r="K63" s="34"/>
      <c r="L63" s="34"/>
      <c r="M63" s="34"/>
      <c r="N63" s="34"/>
      <c r="O63" s="34"/>
      <c r="P63" s="34"/>
      <c r="Q63" s="34"/>
      <c r="R63" s="34"/>
    </row>
    <row r="64" customHeight="1" spans="1:18">
      <c r="A64" s="34"/>
      <c r="B64" s="34" t="str">
        <f>IFERROR(__xludf.DUMMYFUNCTION("""COMPUTED_VALUE"""),"16/04/2026 17:16:18")</f>
        <v>16/04/2026 17:16:18</v>
      </c>
      <c r="C64" s="63" t="str">
        <f>IFERROR(__xludf.DUMMYFUNCTION("""COMPUTED_VALUE"""),"1")</f>
        <v>1</v>
      </c>
      <c r="D64" s="34" t="str">
        <f>IFERROR(__xludf.DUMMYFUNCTION("""COMPUTED_VALUE"""),"M. G. D. S. C. M")</f>
        <v>M. G. D. S. C. M</v>
      </c>
      <c r="E64" s="34" t="str">
        <f>IFERROR(__xludf.DUMMYFUNCTION("""COMPUTED_VALUE"""),"11/04/2022")</f>
        <v>11/04/2022</v>
      </c>
      <c r="F64" s="34" t="str">
        <f>IFERROR(__xludf.DUMMYFUNCTION("""COMPUTED_VALUE"""),"181******09")</f>
        <v>181******09</v>
      </c>
      <c r="G64" s="34" t="str">
        <f>IFERROR(__xludf.DUMMYFUNCTION("""COMPUTED_VALUE"""),"INFANTIL 3")</f>
        <v>INFANTIL 3</v>
      </c>
      <c r="H64" s="34" t="str">
        <f>IFERROR(__xludf.DUMMYFUNCTION("""COMPUTED_VALUE"""),"CRECHE MUNICIPAL PROFESSORA MARIA RITA LINS MARTINS")</f>
        <v>CRECHE MUNICIPAL PROFESSORA MARIA RITA LINS MARTINS</v>
      </c>
      <c r="I64" s="34"/>
      <c r="J64" s="34"/>
      <c r="K64" s="34"/>
      <c r="L64" s="34"/>
      <c r="M64" s="34"/>
      <c r="N64" s="34"/>
      <c r="O64" s="34"/>
      <c r="P64" s="34"/>
      <c r="Q64" s="34"/>
      <c r="R64" s="34"/>
    </row>
    <row r="65" customHeight="1" spans="1:18">
      <c r="A65" s="34"/>
      <c r="B65" s="34" t="str">
        <f>IFERROR(__xludf.DUMMYFUNCTION("""COMPUTED_VALUE"""),"10/05/2026 13:58:19")</f>
        <v>10/05/2026 13:58:19</v>
      </c>
      <c r="C65" s="63" t="str">
        <f>IFERROR(__xludf.DUMMYFUNCTION("""COMPUTED_VALUE"""),"2")</f>
        <v>2</v>
      </c>
      <c r="D65" s="34" t="str">
        <f>IFERROR(__xludf.DUMMYFUNCTION("""COMPUTED_VALUE"""),"D. E. D. M")</f>
        <v>D. E. D. M</v>
      </c>
      <c r="E65" s="34" t="str">
        <f>IFERROR(__xludf.DUMMYFUNCTION("""COMPUTED_VALUE"""),"07/01/2023")</f>
        <v>07/01/2023</v>
      </c>
      <c r="F65" s="34" t="str">
        <f>IFERROR(__xludf.DUMMYFUNCTION("""COMPUTED_VALUE"""),"184******52")</f>
        <v>184******52</v>
      </c>
      <c r="G65" s="34" t="str">
        <f>IFERROR(__xludf.DUMMYFUNCTION("""COMPUTED_VALUE"""),"INFANTIL 3")</f>
        <v>INFANTIL 3</v>
      </c>
      <c r="H65" s="34" t="str">
        <f>IFERROR(__xludf.DUMMYFUNCTION("""COMPUTED_VALUE"""),"CRECHE MUNICIPAL PROFESSORA MARIA RITA LINS MARTINS")</f>
        <v>CRECHE MUNICIPAL PROFESSORA MARIA RITA LINS MARTINS</v>
      </c>
      <c r="I65" s="34"/>
      <c r="J65" s="34"/>
      <c r="K65" s="34"/>
      <c r="L65" s="34"/>
      <c r="M65" s="34"/>
      <c r="N65" s="34"/>
      <c r="O65" s="34"/>
      <c r="P65" s="34"/>
      <c r="Q65" s="34"/>
      <c r="R65" s="34"/>
    </row>
    <row r="66" customHeight="1" spans="1:18">
      <c r="A66" s="34"/>
      <c r="B66" s="34"/>
      <c r="C66" s="63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</row>
    <row r="67" customHeight="1" spans="1:18">
      <c r="A67" s="34"/>
      <c r="B67" s="34"/>
      <c r="C67" s="63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</row>
    <row r="68" customHeight="1" spans="1:18">
      <c r="A68" s="34"/>
      <c r="B68" s="34"/>
      <c r="C68" s="63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</row>
    <row r="69" customHeight="1" spans="1:18">
      <c r="A69" s="34"/>
      <c r="B69" s="34"/>
      <c r="C69" s="63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</row>
    <row r="70" customHeight="1" spans="1:18">
      <c r="A70" s="34"/>
      <c r="B70" s="34"/>
      <c r="C70" s="63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</row>
  </sheetData>
  <mergeCells count="18">
    <mergeCell ref="B1:R1"/>
    <mergeCell ref="B2:Q2"/>
    <mergeCell ref="E5:Q5"/>
    <mergeCell ref="E6:H6"/>
    <mergeCell ref="I6:J6"/>
    <mergeCell ref="K6:P6"/>
    <mergeCell ref="I7:J7"/>
    <mergeCell ref="K7:L7"/>
    <mergeCell ref="M7:N7"/>
    <mergeCell ref="O7:P7"/>
    <mergeCell ref="A5:A8"/>
    <mergeCell ref="D5:D8"/>
    <mergeCell ref="Q6:Q7"/>
    <mergeCell ref="B9:C11"/>
    <mergeCell ref="B12:C14"/>
    <mergeCell ref="B15:C17"/>
    <mergeCell ref="B18:C20"/>
    <mergeCell ref="B5:C8"/>
  </mergeCells>
  <conditionalFormatting sqref="E9:N19">
    <cfRule type="containsBlanks" dxfId="18" priority="1">
      <formula>LEN(TRIM(E9))=0</formula>
    </cfRule>
  </conditionalFormatting>
  <printOptions horizontalCentered="1"/>
  <pageMargins left="0.47244094488189" right="0.47244094488189" top="0.47244094488189" bottom="0.47244094488189" header="0" footer="0"/>
  <pageSetup paperSize="9" fitToHeight="0" pageOrder="overThenDown" orientation="landscape" cellComments="atEnd"/>
  <headerFooter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Y41"/>
  <sheetViews>
    <sheetView workbookViewId="0">
      <selection activeCell="A1" sqref="A1"/>
    </sheetView>
  </sheetViews>
  <sheetFormatPr defaultColWidth="14.43" defaultRowHeight="15" customHeight="1"/>
  <cols>
    <col min="1" max="1" width="24.43" hidden="1" customWidth="1"/>
    <col min="2" max="2" width="24.43" customWidth="1"/>
    <col min="3" max="3" width="9.14" customWidth="1"/>
    <col min="4" max="4" width="42.57" customWidth="1"/>
    <col min="5" max="5" width="15.71" customWidth="1"/>
    <col min="6" max="6" width="16" customWidth="1"/>
    <col min="7" max="7" width="13.57" customWidth="1"/>
    <col min="8" max="8" width="55.29" customWidth="1"/>
    <col min="9" max="9" width="6.43" customWidth="1"/>
    <col min="10" max="10" width="11.71" customWidth="1"/>
    <col min="11" max="11" width="6.57" customWidth="1"/>
    <col min="12" max="12" width="10.57" customWidth="1"/>
    <col min="13" max="13" width="7.14" customWidth="1"/>
    <col min="14" max="14" width="9.57" customWidth="1"/>
    <col min="15" max="15" width="4.57" customWidth="1"/>
    <col min="16" max="16" width="9.86" customWidth="1"/>
    <col min="18" max="24" width="14.43" hidden="1" customWidth="1"/>
  </cols>
  <sheetData>
    <row r="1" ht="17" spans="1:25">
      <c r="A1" s="66"/>
      <c r="B1" s="66"/>
      <c r="C1" s="66"/>
      <c r="D1" s="66"/>
      <c r="E1" s="66"/>
      <c r="F1" s="66"/>
      <c r="G1" s="66"/>
      <c r="H1" s="66"/>
      <c r="I1" s="67"/>
      <c r="J1" s="67"/>
      <c r="K1" s="67"/>
      <c r="L1" s="67"/>
      <c r="M1" s="67"/>
      <c r="N1" s="67"/>
      <c r="O1" s="67"/>
      <c r="P1" s="67"/>
      <c r="Q1" s="67"/>
      <c r="R1" s="67"/>
      <c r="S1" s="67"/>
      <c r="T1" s="67"/>
      <c r="U1" s="67"/>
      <c r="V1" s="67"/>
      <c r="W1" s="67"/>
      <c r="X1" s="67"/>
    </row>
    <row r="2" ht="17" spans="1:25">
      <c r="A2" s="68"/>
      <c r="B2" s="68" t="s">
        <v>47</v>
      </c>
      <c r="R2" s="67"/>
      <c r="S2" s="67"/>
      <c r="T2" s="67"/>
      <c r="U2" s="67"/>
      <c r="V2" s="67"/>
      <c r="W2" s="67"/>
      <c r="X2" s="67"/>
    </row>
    <row r="3" ht="17" spans="1:25">
      <c r="A3" s="66"/>
      <c r="B3" s="66"/>
      <c r="C3" s="66"/>
      <c r="D3" s="66"/>
      <c r="E3" s="66"/>
      <c r="F3" s="66"/>
      <c r="G3" s="66"/>
      <c r="H3" s="66"/>
      <c r="I3" s="67"/>
      <c r="J3" s="67"/>
      <c r="K3" s="67"/>
      <c r="L3" s="67"/>
      <c r="M3" s="67"/>
      <c r="N3" s="67"/>
      <c r="O3" s="67"/>
      <c r="P3" s="67"/>
      <c r="Q3" s="67"/>
      <c r="R3" s="67"/>
      <c r="S3" s="67"/>
      <c r="T3" s="67"/>
      <c r="U3" s="67"/>
      <c r="V3" s="67"/>
      <c r="W3" s="67"/>
      <c r="X3" s="67"/>
    </row>
    <row r="4" ht="17" spans="1:25">
      <c r="A4" s="86" t="s">
        <v>22</v>
      </c>
      <c r="B4" s="36" t="s">
        <v>23</v>
      </c>
      <c r="D4" s="37" t="s">
        <v>24</v>
      </c>
      <c r="E4" s="38" t="s">
        <v>25</v>
      </c>
      <c r="F4" s="39"/>
      <c r="G4" s="39"/>
      <c r="H4" s="39"/>
      <c r="I4" s="39"/>
      <c r="J4" s="39"/>
      <c r="K4" s="39"/>
      <c r="L4" s="39"/>
      <c r="M4" s="39"/>
      <c r="N4" s="39"/>
      <c r="O4" s="39"/>
      <c r="P4" s="39"/>
      <c r="Q4" s="40"/>
      <c r="R4" s="34"/>
      <c r="S4" s="34"/>
      <c r="T4" s="34"/>
      <c r="U4" s="34"/>
      <c r="V4" s="34"/>
      <c r="W4" s="34"/>
      <c r="X4" s="34"/>
      <c r="Y4" s="6"/>
    </row>
    <row r="5" ht="17" spans="1:25">
      <c r="B5" s="41"/>
      <c r="D5" s="42"/>
      <c r="E5" s="38" t="s">
        <v>26</v>
      </c>
      <c r="F5" s="39"/>
      <c r="G5" s="39"/>
      <c r="H5" s="40"/>
      <c r="I5" s="38" t="s">
        <v>27</v>
      </c>
      <c r="J5" s="40"/>
      <c r="K5" s="38" t="s">
        <v>28</v>
      </c>
      <c r="L5" s="39"/>
      <c r="M5" s="39"/>
      <c r="N5" s="39"/>
      <c r="O5" s="39"/>
      <c r="P5" s="40"/>
      <c r="Q5" s="43" t="s">
        <v>29</v>
      </c>
      <c r="R5" s="34"/>
      <c r="S5" s="34"/>
      <c r="T5" s="34"/>
      <c r="U5" s="34"/>
      <c r="V5" s="34"/>
      <c r="W5" s="34"/>
      <c r="X5" s="34"/>
      <c r="Y5" s="6"/>
    </row>
    <row r="6" ht="17" spans="1:25">
      <c r="B6" s="41"/>
      <c r="D6" s="42"/>
      <c r="E6" s="44" t="s">
        <v>30</v>
      </c>
      <c r="F6" s="44" t="s">
        <v>31</v>
      </c>
      <c r="G6" s="44" t="s">
        <v>32</v>
      </c>
      <c r="H6" s="45" t="s">
        <v>33</v>
      </c>
      <c r="I6" s="38" t="s">
        <v>32</v>
      </c>
      <c r="J6" s="40"/>
      <c r="K6" s="38" t="s">
        <v>34</v>
      </c>
      <c r="L6" s="40"/>
      <c r="M6" s="38" t="s">
        <v>35</v>
      </c>
      <c r="N6" s="40"/>
      <c r="O6" s="46" t="s">
        <v>33</v>
      </c>
      <c r="P6" s="40"/>
      <c r="Q6" s="40"/>
      <c r="R6" s="34"/>
      <c r="S6" s="34"/>
      <c r="T6" s="34"/>
      <c r="U6" s="34"/>
      <c r="V6" s="34"/>
      <c r="W6" s="34"/>
      <c r="X6" s="34"/>
      <c r="Y6" s="6"/>
    </row>
    <row r="7" ht="17" spans="1:25">
      <c r="B7" s="47"/>
      <c r="C7" s="39"/>
      <c r="D7" s="40"/>
      <c r="E7" s="44" t="s">
        <v>36</v>
      </c>
      <c r="F7" s="44" t="s">
        <v>36</v>
      </c>
      <c r="G7" s="44" t="s">
        <v>36</v>
      </c>
      <c r="H7" s="45" t="s">
        <v>36</v>
      </c>
      <c r="I7" s="44" t="s">
        <v>37</v>
      </c>
      <c r="J7" s="44" t="s">
        <v>38</v>
      </c>
      <c r="K7" s="44" t="s">
        <v>37</v>
      </c>
      <c r="L7" s="44" t="s">
        <v>38</v>
      </c>
      <c r="M7" s="44" t="s">
        <v>37</v>
      </c>
      <c r="N7" s="44" t="s">
        <v>38</v>
      </c>
      <c r="O7" s="45" t="s">
        <v>37</v>
      </c>
      <c r="P7" s="45" t="s">
        <v>38</v>
      </c>
      <c r="Q7" s="48" t="s">
        <v>39</v>
      </c>
      <c r="R7" s="34"/>
      <c r="S7" s="34"/>
      <c r="T7" s="34"/>
      <c r="U7" s="34"/>
      <c r="V7" s="34"/>
      <c r="W7" s="34"/>
      <c r="X7" s="34"/>
      <c r="Y7" s="6"/>
    </row>
    <row r="8" ht="17" spans="1:25">
      <c r="A8" s="33"/>
      <c r="B8" s="49" t="s">
        <v>48</v>
      </c>
      <c r="C8" s="42"/>
      <c r="D8" s="76" t="s">
        <v>41</v>
      </c>
      <c r="E8" s="51"/>
      <c r="F8" s="51">
        <v>15</v>
      </c>
      <c r="G8" s="51">
        <v>40</v>
      </c>
      <c r="H8" s="52">
        <v>55</v>
      </c>
      <c r="I8" s="51"/>
      <c r="J8" s="51"/>
      <c r="K8" s="51">
        <v>20</v>
      </c>
      <c r="L8" s="51">
        <v>20</v>
      </c>
      <c r="M8" s="51">
        <v>25</v>
      </c>
      <c r="N8" s="51">
        <v>25</v>
      </c>
      <c r="O8" s="77">
        <v>45</v>
      </c>
      <c r="P8" s="77">
        <v>45</v>
      </c>
      <c r="Q8" s="78">
        <v>145</v>
      </c>
      <c r="R8" s="67"/>
      <c r="S8" s="67"/>
      <c r="T8" s="67"/>
      <c r="U8" s="67"/>
      <c r="V8" s="67"/>
      <c r="W8" s="67"/>
      <c r="X8" s="67"/>
    </row>
    <row r="9" ht="17" spans="1:25">
      <c r="A9" s="33">
        <v>26186063</v>
      </c>
      <c r="B9" s="41"/>
      <c r="C9" s="42"/>
      <c r="D9" s="76" t="s">
        <v>42</v>
      </c>
      <c r="E9" s="51">
        <v>0</v>
      </c>
      <c r="F9" s="51">
        <v>15</v>
      </c>
      <c r="G9" s="51">
        <v>31</v>
      </c>
      <c r="H9" s="52">
        <v>46</v>
      </c>
      <c r="I9" s="51">
        <v>0</v>
      </c>
      <c r="J9" s="51">
        <v>0</v>
      </c>
      <c r="K9" s="51">
        <v>20</v>
      </c>
      <c r="L9" s="51">
        <v>18</v>
      </c>
      <c r="M9" s="51">
        <v>11</v>
      </c>
      <c r="N9" s="51">
        <v>24</v>
      </c>
      <c r="O9" s="77">
        <v>31</v>
      </c>
      <c r="P9" s="77">
        <v>42</v>
      </c>
      <c r="Q9" s="79">
        <v>119</v>
      </c>
      <c r="R9" s="67"/>
      <c r="S9" s="67"/>
      <c r="T9" s="67"/>
      <c r="U9" s="67"/>
      <c r="V9" s="67"/>
      <c r="W9" s="67"/>
      <c r="X9" s="67"/>
    </row>
    <row r="10" ht="17" spans="1:25">
      <c r="A10" s="33"/>
      <c r="B10" s="47"/>
      <c r="C10" s="40"/>
      <c r="D10" s="80" t="s">
        <v>43</v>
      </c>
      <c r="E10" s="56">
        <v>0</v>
      </c>
      <c r="F10" s="56">
        <v>0</v>
      </c>
      <c r="G10" s="56">
        <v>9</v>
      </c>
      <c r="H10" s="56">
        <v>9</v>
      </c>
      <c r="I10" s="56">
        <v>0</v>
      </c>
      <c r="J10" s="56">
        <v>0</v>
      </c>
      <c r="K10" s="56">
        <v>0</v>
      </c>
      <c r="L10" s="56">
        <v>2</v>
      </c>
      <c r="M10" s="56">
        <v>14</v>
      </c>
      <c r="N10" s="56">
        <v>1</v>
      </c>
      <c r="O10" s="57">
        <v>14</v>
      </c>
      <c r="P10" s="57">
        <v>3</v>
      </c>
      <c r="Q10" s="57">
        <v>26</v>
      </c>
      <c r="R10" s="67"/>
      <c r="S10" s="67"/>
      <c r="T10" s="67"/>
      <c r="U10" s="67"/>
      <c r="V10" s="67"/>
      <c r="W10" s="67"/>
      <c r="X10" s="67"/>
    </row>
    <row r="11" ht="17" spans="1:25">
      <c r="A11" s="33"/>
      <c r="B11" s="49" t="s">
        <v>49</v>
      </c>
      <c r="C11" s="42"/>
      <c r="D11" s="76" t="s">
        <v>41</v>
      </c>
      <c r="E11" s="51">
        <v>30</v>
      </c>
      <c r="F11" s="51">
        <v>30</v>
      </c>
      <c r="G11" s="51">
        <v>40</v>
      </c>
      <c r="H11" s="52">
        <v>100</v>
      </c>
      <c r="I11" s="51"/>
      <c r="J11" s="51"/>
      <c r="K11" s="51"/>
      <c r="L11" s="51"/>
      <c r="M11" s="51"/>
      <c r="N11" s="51"/>
      <c r="O11" s="77">
        <v>0</v>
      </c>
      <c r="P11" s="77">
        <v>0</v>
      </c>
      <c r="Q11" s="78">
        <v>100</v>
      </c>
      <c r="R11" s="67"/>
      <c r="S11" s="67"/>
      <c r="T11" s="67"/>
      <c r="U11" s="67"/>
      <c r="V11" s="67"/>
      <c r="W11" s="67"/>
      <c r="X11" s="67"/>
    </row>
    <row r="12" ht="17" spans="1:25">
      <c r="A12" s="33">
        <v>26109425</v>
      </c>
      <c r="B12" s="41"/>
      <c r="C12" s="42"/>
      <c r="D12" s="76" t="s">
        <v>42</v>
      </c>
      <c r="E12" s="51">
        <v>30</v>
      </c>
      <c r="F12" s="51">
        <v>30</v>
      </c>
      <c r="G12" s="51">
        <v>41</v>
      </c>
      <c r="H12" s="52">
        <v>72</v>
      </c>
      <c r="I12" s="51">
        <v>0</v>
      </c>
      <c r="J12" s="51">
        <v>0</v>
      </c>
      <c r="K12" s="51">
        <v>0</v>
      </c>
      <c r="L12" s="51">
        <v>0</v>
      </c>
      <c r="M12" s="51">
        <v>0</v>
      </c>
      <c r="N12" s="51">
        <v>0</v>
      </c>
      <c r="O12" s="77">
        <v>0</v>
      </c>
      <c r="P12" s="77">
        <v>0</v>
      </c>
      <c r="Q12" s="79">
        <v>72</v>
      </c>
      <c r="R12" s="67"/>
      <c r="S12" s="67"/>
      <c r="T12" s="67"/>
      <c r="U12" s="67"/>
      <c r="V12" s="67"/>
      <c r="W12" s="67"/>
      <c r="X12" s="67"/>
    </row>
    <row r="13" ht="17" spans="1:25">
      <c r="A13" s="33"/>
      <c r="B13" s="47"/>
      <c r="C13" s="40"/>
      <c r="D13" s="80" t="s">
        <v>43</v>
      </c>
      <c r="E13" s="56">
        <v>0</v>
      </c>
      <c r="F13" s="56">
        <v>0</v>
      </c>
      <c r="G13" s="56">
        <v>-1</v>
      </c>
      <c r="H13" s="56">
        <v>28</v>
      </c>
      <c r="I13" s="56">
        <v>0</v>
      </c>
      <c r="J13" s="56">
        <v>0</v>
      </c>
      <c r="K13" s="56">
        <v>0</v>
      </c>
      <c r="L13" s="56">
        <v>0</v>
      </c>
      <c r="M13" s="56">
        <v>0</v>
      </c>
      <c r="N13" s="56">
        <v>0</v>
      </c>
      <c r="O13" s="57">
        <v>0</v>
      </c>
      <c r="P13" s="57">
        <v>0</v>
      </c>
      <c r="Q13" s="57">
        <v>28</v>
      </c>
      <c r="R13" s="67"/>
      <c r="S13" s="67"/>
      <c r="T13" s="67"/>
      <c r="U13" s="67"/>
      <c r="V13" s="67"/>
      <c r="W13" s="67"/>
      <c r="X13" s="67"/>
    </row>
    <row r="14" ht="17" spans="1:25">
      <c r="A14" s="33"/>
      <c r="B14" s="49" t="s">
        <v>50</v>
      </c>
      <c r="C14" s="42"/>
      <c r="D14" s="76" t="s">
        <v>41</v>
      </c>
      <c r="E14" s="51">
        <v>15</v>
      </c>
      <c r="F14" s="51">
        <v>30</v>
      </c>
      <c r="G14" s="51">
        <v>20</v>
      </c>
      <c r="H14" s="52">
        <v>65</v>
      </c>
      <c r="I14" s="51"/>
      <c r="J14" s="51"/>
      <c r="K14" s="51"/>
      <c r="L14" s="51"/>
      <c r="M14" s="51"/>
      <c r="N14" s="51"/>
      <c r="O14" s="77">
        <v>0</v>
      </c>
      <c r="P14" s="77">
        <v>0</v>
      </c>
      <c r="Q14" s="78">
        <v>65</v>
      </c>
      <c r="R14" s="67"/>
      <c r="S14" s="67"/>
      <c r="T14" s="67"/>
      <c r="U14" s="67"/>
      <c r="V14" s="67"/>
      <c r="W14" s="67"/>
      <c r="X14" s="67"/>
    </row>
    <row r="15" ht="17" spans="1:25">
      <c r="A15" s="33">
        <v>26190168</v>
      </c>
      <c r="B15" s="41"/>
      <c r="C15" s="42"/>
      <c r="D15" s="76" t="s">
        <v>42</v>
      </c>
      <c r="E15" s="51">
        <v>15</v>
      </c>
      <c r="F15" s="51">
        <v>30</v>
      </c>
      <c r="G15" s="51">
        <v>20</v>
      </c>
      <c r="H15" s="52">
        <v>65</v>
      </c>
      <c r="I15" s="51">
        <v>0</v>
      </c>
      <c r="J15" s="51">
        <v>0</v>
      </c>
      <c r="K15" s="51">
        <v>0</v>
      </c>
      <c r="L15" s="51">
        <v>0</v>
      </c>
      <c r="M15" s="51">
        <v>0</v>
      </c>
      <c r="N15" s="51">
        <v>0</v>
      </c>
      <c r="O15" s="77">
        <v>0</v>
      </c>
      <c r="P15" s="77">
        <v>0</v>
      </c>
      <c r="Q15" s="79">
        <v>65</v>
      </c>
      <c r="R15" s="67"/>
      <c r="S15" s="67"/>
      <c r="T15" s="67"/>
      <c r="U15" s="67"/>
      <c r="V15" s="67"/>
      <c r="W15" s="67"/>
      <c r="X15" s="67"/>
    </row>
    <row r="16" ht="17" spans="1:25">
      <c r="A16" s="33"/>
      <c r="B16" s="47"/>
      <c r="C16" s="40"/>
      <c r="D16" s="80" t="s">
        <v>43</v>
      </c>
      <c r="E16" s="56">
        <v>0</v>
      </c>
      <c r="F16" s="56">
        <v>0</v>
      </c>
      <c r="G16" s="56">
        <v>0</v>
      </c>
      <c r="H16" s="56">
        <v>0</v>
      </c>
      <c r="I16" s="56">
        <v>0</v>
      </c>
      <c r="J16" s="56">
        <v>0</v>
      </c>
      <c r="K16" s="56">
        <v>0</v>
      </c>
      <c r="L16" s="56">
        <v>0</v>
      </c>
      <c r="M16" s="56">
        <v>0</v>
      </c>
      <c r="N16" s="56">
        <v>0</v>
      </c>
      <c r="O16" s="57">
        <v>0</v>
      </c>
      <c r="P16" s="57">
        <v>0</v>
      </c>
      <c r="Q16" s="57">
        <v>0</v>
      </c>
      <c r="R16" s="67"/>
      <c r="S16" s="67"/>
      <c r="T16" s="67"/>
      <c r="U16" s="67"/>
      <c r="V16" s="67"/>
      <c r="W16" s="67"/>
      <c r="X16" s="67"/>
    </row>
    <row r="17" ht="17" spans="1:25">
      <c r="A17" s="66"/>
      <c r="B17" s="66"/>
      <c r="C17" s="66"/>
      <c r="D17" s="66"/>
      <c r="E17" s="66"/>
      <c r="F17" s="66"/>
      <c r="G17" s="66"/>
      <c r="H17" s="66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</row>
    <row r="18" ht="17" spans="1:25">
      <c r="A18" s="66"/>
      <c r="B18" s="66"/>
      <c r="C18" s="66"/>
      <c r="D18" s="66"/>
      <c r="E18" s="66"/>
      <c r="F18" s="66"/>
      <c r="G18" s="66"/>
      <c r="H18" s="66"/>
      <c r="I18" s="67"/>
      <c r="J18" s="67"/>
      <c r="K18" s="67"/>
      <c r="L18" s="67"/>
      <c r="M18" s="67"/>
      <c r="N18" s="67"/>
      <c r="O18" s="67"/>
      <c r="P18" s="67"/>
      <c r="Q18" s="67"/>
      <c r="R18" s="67"/>
      <c r="S18" s="67"/>
      <c r="T18" s="67"/>
      <c r="U18" s="67"/>
      <c r="V18" s="67"/>
      <c r="W18" s="67"/>
      <c r="X18" s="67"/>
    </row>
    <row r="19" ht="17" spans="1:25">
      <c r="A19" s="66"/>
      <c r="B19" s="66"/>
      <c r="C19" s="66"/>
      <c r="D19" s="66"/>
      <c r="E19" s="66"/>
      <c r="F19" s="66"/>
      <c r="G19" s="66"/>
      <c r="H19" s="66"/>
      <c r="I19" s="67"/>
      <c r="J19" s="67"/>
      <c r="K19" s="67"/>
      <c r="L19" s="67"/>
      <c r="M19" s="67"/>
      <c r="N19" s="67"/>
      <c r="O19" s="67"/>
      <c r="P19" s="67"/>
      <c r="Q19" s="67"/>
      <c r="R19" s="67"/>
      <c r="S19" s="67"/>
      <c r="T19" s="67"/>
      <c r="U19" s="67"/>
      <c r="V19" s="67"/>
      <c r="W19" s="67"/>
      <c r="X19" s="67"/>
    </row>
    <row r="20" ht="51" spans="1:25">
      <c r="A20" s="84"/>
      <c r="B20" s="81" t="s">
        <v>14</v>
      </c>
      <c r="C20" s="82" t="s">
        <v>6</v>
      </c>
      <c r="D20" s="82" t="s">
        <v>15</v>
      </c>
      <c r="E20" s="82" t="s">
        <v>16</v>
      </c>
      <c r="F20" s="82" t="s">
        <v>10</v>
      </c>
      <c r="G20" s="83" t="s">
        <v>17</v>
      </c>
      <c r="H20" s="83" t="s">
        <v>18</v>
      </c>
      <c r="I20" s="84"/>
      <c r="J20" s="84"/>
      <c r="K20" s="84"/>
      <c r="L20" s="84"/>
      <c r="M20" s="84"/>
      <c r="N20" s="84"/>
      <c r="O20" s="84"/>
      <c r="P20" s="84"/>
      <c r="Q20" s="84"/>
      <c r="R20" s="84"/>
      <c r="S20" s="84"/>
      <c r="T20" s="84"/>
      <c r="U20" s="84"/>
      <c r="V20" s="84"/>
      <c r="W20" s="84"/>
      <c r="X20" s="84"/>
      <c r="Y20" s="84"/>
    </row>
    <row r="21" ht="15.75" customHeight="1" spans="1:25">
      <c r="A21" s="34"/>
      <c r="B21" s="62" t="str">
        <f>IFERROR(__xludf.DUMMYFUNCTION("QUERY(dados_02!$A$2:$H$675, ""SELECT Col1, Col2, Col3, Col4, Col5, Col6, Col7  where Col8 = 'REGIONAL 2' "")"),"25/02/2026 12:49:56")</f>
        <v>25/02/2026 12:49:56</v>
      </c>
      <c r="C21" s="63" t="str">
        <f>IFERROR(__xludf.DUMMYFUNCTION("""COMPUTED_VALUE"""),"1")</f>
        <v>1</v>
      </c>
      <c r="D21" s="34" t="str">
        <f>IFERROR(__xludf.DUMMYFUNCTION("""COMPUTED_VALUE"""),"C")</f>
        <v>C</v>
      </c>
      <c r="E21" s="64" t="str">
        <f>IFERROR(__xludf.DUMMYFUNCTION("""COMPUTED_VALUE"""),"03/07/2025")</f>
        <v>03/07/2025</v>
      </c>
      <c r="F21" s="34" t="str">
        <f>IFERROR(__xludf.DUMMYFUNCTION("""COMPUTED_VALUE"""),"006******51")</f>
        <v>006******51</v>
      </c>
      <c r="G21" s="34" t="str">
        <f>IFERROR(__xludf.DUMMYFUNCTION("""COMPUTED_VALUE"""),"INFANTIL 1")</f>
        <v>INFANTIL 1</v>
      </c>
      <c r="H21" s="65" t="str">
        <f>IFERROR(__xludf.DUMMYFUNCTION("""COMPUTED_VALUE"""),"CRECHE ALAYDE MARIA DA CONCEICAO")</f>
        <v>CRECHE ALAYDE MARIA DA CONCEICAO</v>
      </c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</row>
    <row r="22" ht="15.75" customHeight="1" spans="1:25">
      <c r="A22" s="34"/>
      <c r="B22" s="62" t="str">
        <f>IFERROR(__xludf.DUMMYFUNCTION("""COMPUTED_VALUE"""),"25/03/2026 16:34:54")</f>
        <v>25/03/2026 16:34:54</v>
      </c>
      <c r="C22" s="63" t="str">
        <f>IFERROR(__xludf.DUMMYFUNCTION("""COMPUTED_VALUE"""),"2")</f>
        <v>2</v>
      </c>
      <c r="D22" s="34" t="str">
        <f>IFERROR(__xludf.DUMMYFUNCTION("""COMPUTED_VALUE"""),"D. A. D. S")</f>
        <v>D. A. D. S</v>
      </c>
      <c r="E22" s="64" t="str">
        <f>IFERROR(__xludf.DUMMYFUNCTION("""COMPUTED_VALUE"""),"27/05/2025")</f>
        <v>27/05/2025</v>
      </c>
      <c r="F22" s="34" t="str">
        <f>IFERROR(__xludf.DUMMYFUNCTION("""COMPUTED_VALUE"""),"003******10")</f>
        <v>003******10</v>
      </c>
      <c r="G22" s="34" t="str">
        <f>IFERROR(__xludf.DUMMYFUNCTION("""COMPUTED_VALUE"""),"INFANTIL 1")</f>
        <v>INFANTIL 1</v>
      </c>
      <c r="H22" s="65" t="str">
        <f>IFERROR(__xludf.DUMMYFUNCTION("""COMPUTED_VALUE"""),"CRECHE ALAYDE MARIA DA CONCEICAO")</f>
        <v>CRECHE ALAYDE MARIA DA CONCEICAO</v>
      </c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</row>
    <row r="23" ht="15.75" customHeight="1" spans="1:25">
      <c r="A23" s="34"/>
      <c r="B23" s="62" t="str">
        <f>IFERROR(__xludf.DUMMYFUNCTION("""COMPUTED_VALUE"""),"19/03/2026 10:36:55")</f>
        <v>19/03/2026 10:36:55</v>
      </c>
      <c r="C23" s="63" t="str">
        <f>IFERROR(__xludf.DUMMYFUNCTION("""COMPUTED_VALUE"""),"1")</f>
        <v>1</v>
      </c>
      <c r="D23" s="34" t="str">
        <f>IFERROR(__xludf.DUMMYFUNCTION("""COMPUTED_VALUE"""),"E. E. M. D. L")</f>
        <v>E. E. M. D. L</v>
      </c>
      <c r="E23" s="64" t="str">
        <f>IFERROR(__xludf.DUMMYFUNCTION("""COMPUTED_VALUE"""),"21/04/2023")</f>
        <v>21/04/2023</v>
      </c>
      <c r="F23" s="34" t="str">
        <f>IFERROR(__xludf.DUMMYFUNCTION("""COMPUTED_VALUE"""),"185******93")</f>
        <v>185******93</v>
      </c>
      <c r="G23" s="34" t="str">
        <f>IFERROR(__xludf.DUMMYFUNCTION("""COMPUTED_VALUE"""),"INFANTIL 2")</f>
        <v>INFANTIL 2</v>
      </c>
      <c r="H23" s="65" t="str">
        <f>IFERROR(__xludf.DUMMYFUNCTION("""COMPUTED_VALUE"""),"CRECHE ALAYDE MARIA DA CONCEICAO")</f>
        <v>CRECHE ALAYDE MARIA DA CONCEICAO</v>
      </c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</row>
    <row r="24" ht="15.75" customHeight="1" spans="1:25">
      <c r="A24" s="34"/>
      <c r="B24" s="62" t="str">
        <f>IFERROR(__xludf.DUMMYFUNCTION("""COMPUTED_VALUE"""),"31/03/2026 12:14:35")</f>
        <v>31/03/2026 12:14:35</v>
      </c>
      <c r="C24" s="63" t="str">
        <f>IFERROR(__xludf.DUMMYFUNCTION("""COMPUTED_VALUE"""),"2")</f>
        <v>2</v>
      </c>
      <c r="D24" s="34" t="str">
        <f>IFERROR(__xludf.DUMMYFUNCTION("""COMPUTED_VALUE"""),"H. D. A. F")</f>
        <v>H. D. A. F</v>
      </c>
      <c r="E24" s="64" t="str">
        <f>IFERROR(__xludf.DUMMYFUNCTION("""COMPUTED_VALUE"""),"04/03/2024")</f>
        <v>04/03/2024</v>
      </c>
      <c r="F24" s="34" t="str">
        <f>IFERROR(__xludf.DUMMYFUNCTION("""COMPUTED_VALUE"""),"002******10")</f>
        <v>002******10</v>
      </c>
      <c r="G24" s="34" t="str">
        <f>IFERROR(__xludf.DUMMYFUNCTION("""COMPUTED_VALUE"""),"INFANTIL 2")</f>
        <v>INFANTIL 2</v>
      </c>
      <c r="H24" s="65" t="str">
        <f>IFERROR(__xludf.DUMMYFUNCTION("""COMPUTED_VALUE"""),"CRECHE ALAYDE MARIA DA CONCEICAO")</f>
        <v>CRECHE ALAYDE MARIA DA CONCEICAO</v>
      </c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</row>
    <row r="25" ht="15.75" customHeight="1" spans="1:25">
      <c r="A25" s="34"/>
      <c r="B25" s="34" t="str">
        <f>IFERROR(__xludf.DUMMYFUNCTION("""COMPUTED_VALUE"""),"27/04/2026 15:51:32")</f>
        <v>27/04/2026 15:51:32</v>
      </c>
      <c r="C25" s="63" t="str">
        <f>IFERROR(__xludf.DUMMYFUNCTION("""COMPUTED_VALUE"""),"3")</f>
        <v>3</v>
      </c>
      <c r="D25" s="34" t="str">
        <f>IFERROR(__xludf.DUMMYFUNCTION("""COMPUTED_VALUE"""),"E. F. M. D. S. R")</f>
        <v>E. F. M. D. S. R</v>
      </c>
      <c r="E25" s="34" t="str">
        <f>IFERROR(__xludf.DUMMYFUNCTION("""COMPUTED_VALUE"""),"11/02/2024")</f>
        <v>11/02/2024</v>
      </c>
      <c r="F25" s="34" t="str">
        <f>IFERROR(__xludf.DUMMYFUNCTION("""COMPUTED_VALUE"""),"001******22")</f>
        <v>001******22</v>
      </c>
      <c r="G25" s="34" t="str">
        <f>IFERROR(__xludf.DUMMYFUNCTION("""COMPUTED_VALUE"""),"INFANTIL 2")</f>
        <v>INFANTIL 2</v>
      </c>
      <c r="H25" s="65" t="str">
        <f>IFERROR(__xludf.DUMMYFUNCTION("""COMPUTED_VALUE"""),"CRECHE ALAYDE MARIA DA CONCEICAO")</f>
        <v>CRECHE ALAYDE MARIA DA CONCEICAO</v>
      </c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</row>
    <row r="26" ht="15.75" customHeight="1" spans="1:25">
      <c r="A26" s="34"/>
      <c r="B26" s="34" t="str">
        <f>IFERROR(__xludf.DUMMYFUNCTION("""COMPUTED_VALUE"""),"26/02/2026 09:33:21")</f>
        <v>26/02/2026 09:33:21</v>
      </c>
      <c r="C26" s="63" t="str">
        <f>IFERROR(__xludf.DUMMYFUNCTION("""COMPUTED_VALUE"""),"1")</f>
        <v>1</v>
      </c>
      <c r="D26" s="34" t="str">
        <f>IFERROR(__xludf.DUMMYFUNCTION("""COMPUTED_VALUE"""),"M. L. S. D. S")</f>
        <v>M. L. S. D. S</v>
      </c>
      <c r="E26" s="34" t="str">
        <f>IFERROR(__xludf.DUMMYFUNCTION("""COMPUTED_VALUE"""),"20/07/2024")</f>
        <v>20/07/2024</v>
      </c>
      <c r="F26" s="34" t="str">
        <f>IFERROR(__xludf.DUMMYFUNCTION("""COMPUTED_VALUE"""),"003******16")</f>
        <v>003******16</v>
      </c>
      <c r="G26" s="34" t="str">
        <f>IFERROR(__xludf.DUMMYFUNCTION("""COMPUTED_VALUE"""),"INFANTIL 1")</f>
        <v>INFANTIL 1</v>
      </c>
      <c r="H26" s="65" t="str">
        <f>IFERROR(__xludf.DUMMYFUNCTION("""COMPUTED_VALUE"""),"CRECHE PROFESSORA LEDA MARIA QUEIROZ DO REGO BARROS")</f>
        <v>CRECHE PROFESSORA LEDA MARIA QUEIROZ DO REGO BARROS</v>
      </c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</row>
    <row r="27" ht="15.75" customHeight="1" spans="1:25">
      <c r="A27" s="34"/>
      <c r="B27" s="34" t="str">
        <f>IFERROR(__xludf.DUMMYFUNCTION("""COMPUTED_VALUE"""),"05/04/2026 16:11:06")</f>
        <v>05/04/2026 16:11:06</v>
      </c>
      <c r="C27" s="63" t="str">
        <f>IFERROR(__xludf.DUMMYFUNCTION("""COMPUTED_VALUE"""),"2")</f>
        <v>2</v>
      </c>
      <c r="D27" s="34" t="str">
        <f>IFERROR(__xludf.DUMMYFUNCTION("""COMPUTED_VALUE"""),"T. N. F. G")</f>
        <v>T. N. F. G</v>
      </c>
      <c r="E27" s="34" t="str">
        <f>IFERROR(__xludf.DUMMYFUNCTION("""COMPUTED_VALUE"""),"27/09/2024")</f>
        <v>27/09/2024</v>
      </c>
      <c r="F27" s="34" t="str">
        <f>IFERROR(__xludf.DUMMYFUNCTION("""COMPUTED_VALUE"""),"004******13")</f>
        <v>004******13</v>
      </c>
      <c r="G27" s="34" t="str">
        <f>IFERROR(__xludf.DUMMYFUNCTION("""COMPUTED_VALUE"""),"INFANTIL 1")</f>
        <v>INFANTIL 1</v>
      </c>
      <c r="H27" s="65" t="str">
        <f>IFERROR(__xludf.DUMMYFUNCTION("""COMPUTED_VALUE"""),"CRECHE PROFESSORA LEDA MARIA QUEIROZ DO REGO BARROS")</f>
        <v>CRECHE PROFESSORA LEDA MARIA QUEIROZ DO REGO BARROS</v>
      </c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</row>
    <row r="28" ht="15.75" customHeight="1" spans="1:25">
      <c r="A28" s="34"/>
      <c r="B28" s="34" t="str">
        <f>IFERROR(__xludf.DUMMYFUNCTION("""COMPUTED_VALUE"""),"25/05/2026 11:20:13")</f>
        <v>25/05/2026 11:20:13</v>
      </c>
      <c r="C28" s="63" t="str">
        <f>IFERROR(__xludf.DUMMYFUNCTION("""COMPUTED_VALUE"""),"3")</f>
        <v>3</v>
      </c>
      <c r="D28" s="34" t="str">
        <f>IFERROR(__xludf.DUMMYFUNCTION("""COMPUTED_VALUE"""),"M. C. M. D. S")</f>
        <v>M. C. M. D. S</v>
      </c>
      <c r="E28" s="34" t="str">
        <f>IFERROR(__xludf.DUMMYFUNCTION("""COMPUTED_VALUE"""),"22/04/2024")</f>
        <v>22/04/2024</v>
      </c>
      <c r="F28" s="34" t="str">
        <f>IFERROR(__xludf.DUMMYFUNCTION("""COMPUTED_VALUE"""),"003******40")</f>
        <v>003******40</v>
      </c>
      <c r="G28" s="34" t="str">
        <f>IFERROR(__xludf.DUMMYFUNCTION("""COMPUTED_VALUE"""),"INFANTIL 1")</f>
        <v>INFANTIL 1</v>
      </c>
      <c r="H28" s="65" t="str">
        <f>IFERROR(__xludf.DUMMYFUNCTION("""COMPUTED_VALUE"""),"CRECHE PROFESSORA LEDA MARIA QUEIROZ DO REGO BARROS")</f>
        <v>CRECHE PROFESSORA LEDA MARIA QUEIROZ DO REGO BARROS</v>
      </c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</row>
    <row r="29" ht="15.75" customHeight="1" spans="1:25">
      <c r="A29" s="34"/>
      <c r="B29" s="34" t="str">
        <f>IFERROR(__xludf.DUMMYFUNCTION("""COMPUTED_VALUE"""),"02/02/2026 18:41:44")</f>
        <v>02/02/2026 18:41:44</v>
      </c>
      <c r="C29" s="63" t="str">
        <f>IFERROR(__xludf.DUMMYFUNCTION("""COMPUTED_VALUE"""),"1")</f>
        <v>1</v>
      </c>
      <c r="D29" s="34" t="str">
        <f>IFERROR(__xludf.DUMMYFUNCTION("""COMPUTED_VALUE"""),"Y. K. D. S. P")</f>
        <v>Y. K. D. S. P</v>
      </c>
      <c r="E29" s="34" t="str">
        <f>IFERROR(__xludf.DUMMYFUNCTION("""COMPUTED_VALUE"""),"24/06/2023")</f>
        <v>24/06/2023</v>
      </c>
      <c r="F29" s="34" t="str">
        <f>IFERROR(__xludf.DUMMYFUNCTION("""COMPUTED_VALUE"""),"185******44")</f>
        <v>185******44</v>
      </c>
      <c r="G29" s="34" t="str">
        <f>IFERROR(__xludf.DUMMYFUNCTION("""COMPUTED_VALUE"""),"INFANTIL 2")</f>
        <v>INFANTIL 2</v>
      </c>
      <c r="H29" s="65" t="str">
        <f>IFERROR(__xludf.DUMMYFUNCTION("""COMPUTED_VALUE"""),"CRECHE PROFESSORA LEDA MARIA QUEIROZ DO REGO BARROS")</f>
        <v>CRECHE PROFESSORA LEDA MARIA QUEIROZ DO REGO BARROS</v>
      </c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</row>
    <row r="30" ht="15.75" customHeight="1" spans="1:25">
      <c r="A30" s="34"/>
      <c r="B30" s="34" t="str">
        <f>IFERROR(__xludf.DUMMYFUNCTION("""COMPUTED_VALUE"""),"09/02/2026 08:20:49")</f>
        <v>09/02/2026 08:20:49</v>
      </c>
      <c r="C30" s="63" t="str">
        <f>IFERROR(__xludf.DUMMYFUNCTION("""COMPUTED_VALUE"""),"2")</f>
        <v>2</v>
      </c>
      <c r="D30" s="34" t="str">
        <f>IFERROR(__xludf.DUMMYFUNCTION("""COMPUTED_VALUE"""),"T. R. D. S")</f>
        <v>T. R. D. S</v>
      </c>
      <c r="E30" s="34" t="str">
        <f>IFERROR(__xludf.DUMMYFUNCTION("""COMPUTED_VALUE"""),"10/03/2024")</f>
        <v>10/03/2024</v>
      </c>
      <c r="F30" s="34" t="str">
        <f>IFERROR(__xludf.DUMMYFUNCTION("""COMPUTED_VALUE"""),"002******98")</f>
        <v>002******98</v>
      </c>
      <c r="G30" s="34" t="str">
        <f>IFERROR(__xludf.DUMMYFUNCTION("""COMPUTED_VALUE"""),"INFANTIL 2")</f>
        <v>INFANTIL 2</v>
      </c>
      <c r="H30" s="65" t="str">
        <f>IFERROR(__xludf.DUMMYFUNCTION("""COMPUTED_VALUE"""),"CRECHE PROFESSORA LEDA MARIA QUEIROZ DO REGO BARROS")</f>
        <v>CRECHE PROFESSORA LEDA MARIA QUEIROZ DO REGO BARROS</v>
      </c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</row>
    <row r="31" ht="15.75" customHeight="1" spans="1:25">
      <c r="A31" s="34"/>
      <c r="B31" s="34" t="str">
        <f>IFERROR(__xludf.DUMMYFUNCTION("""COMPUTED_VALUE"""),"09/03/2026 10:20:55")</f>
        <v>09/03/2026 10:20:55</v>
      </c>
      <c r="C31" s="63" t="str">
        <f>IFERROR(__xludf.DUMMYFUNCTION("""COMPUTED_VALUE"""),"3")</f>
        <v>3</v>
      </c>
      <c r="D31" s="34" t="str">
        <f>IFERROR(__xludf.DUMMYFUNCTION("""COMPUTED_VALUE"""),"S. J. D. S. A")</f>
        <v>S. J. D. S. A</v>
      </c>
      <c r="E31" s="34" t="str">
        <f>IFERROR(__xludf.DUMMYFUNCTION("""COMPUTED_VALUE"""),"19/06/2023")</f>
        <v>19/06/2023</v>
      </c>
      <c r="F31" s="34" t="str">
        <f>IFERROR(__xludf.DUMMYFUNCTION("""COMPUTED_VALUE"""),"185******81")</f>
        <v>185******81</v>
      </c>
      <c r="G31" s="34" t="str">
        <f>IFERROR(__xludf.DUMMYFUNCTION("""COMPUTED_VALUE"""),"INFANTIL 2")</f>
        <v>INFANTIL 2</v>
      </c>
      <c r="H31" s="65" t="str">
        <f>IFERROR(__xludf.DUMMYFUNCTION("""COMPUTED_VALUE"""),"CRECHE PROFESSORA LEDA MARIA QUEIROZ DO REGO BARROS")</f>
        <v>CRECHE PROFESSORA LEDA MARIA QUEIROZ DO REGO BARROS</v>
      </c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</row>
    <row r="32" ht="15.75" customHeight="1" spans="1:25">
      <c r="A32" s="34"/>
      <c r="B32" s="34" t="str">
        <f>IFERROR(__xludf.DUMMYFUNCTION("""COMPUTED_VALUE"""),"10/04/2026 02:09:34")</f>
        <v>10/04/2026 02:09:34</v>
      </c>
      <c r="C32" s="63" t="str">
        <f>IFERROR(__xludf.DUMMYFUNCTION("""COMPUTED_VALUE"""),"4")</f>
        <v>4</v>
      </c>
      <c r="D32" s="34" t="str">
        <f>IFERROR(__xludf.DUMMYFUNCTION("""COMPUTED_VALUE"""),"S. R. S. D. N")</f>
        <v>S. R. S. D. N</v>
      </c>
      <c r="E32" s="34" t="str">
        <f>IFERROR(__xludf.DUMMYFUNCTION("""COMPUTED_VALUE"""),"10/08/2023")</f>
        <v>10/08/2023</v>
      </c>
      <c r="F32" s="34" t="str">
        <f>IFERROR(__xludf.DUMMYFUNCTION("""COMPUTED_VALUE"""),"186******67")</f>
        <v>186******67</v>
      </c>
      <c r="G32" s="34" t="str">
        <f>IFERROR(__xludf.DUMMYFUNCTION("""COMPUTED_VALUE"""),"INFANTIL 2")</f>
        <v>INFANTIL 2</v>
      </c>
      <c r="H32" s="65" t="str">
        <f>IFERROR(__xludf.DUMMYFUNCTION("""COMPUTED_VALUE"""),"CRECHE PROFESSORA LEDA MARIA QUEIROZ DO REGO BARROS")</f>
        <v>CRECHE PROFESSORA LEDA MARIA QUEIROZ DO REGO BARROS</v>
      </c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</row>
    <row r="33" ht="15.75" customHeight="1" spans="1:25">
      <c r="A33" s="34"/>
      <c r="B33" s="34" t="str">
        <f>IFERROR(__xludf.DUMMYFUNCTION("""COMPUTED_VALUE"""),"22/04/2026 11:52:44")</f>
        <v>22/04/2026 11:52:44</v>
      </c>
      <c r="C33" s="63" t="str">
        <f>IFERROR(__xludf.DUMMYFUNCTION("""COMPUTED_VALUE"""),"5")</f>
        <v>5</v>
      </c>
      <c r="D33" s="34" t="str">
        <f>IFERROR(__xludf.DUMMYFUNCTION("""COMPUTED_VALUE"""),"H. M. F")</f>
        <v>H. M. F</v>
      </c>
      <c r="E33" s="34" t="str">
        <f>IFERROR(__xludf.DUMMYFUNCTION("""COMPUTED_VALUE"""),"15/07/2023")</f>
        <v>15/07/2023</v>
      </c>
      <c r="F33" s="34" t="str">
        <f>IFERROR(__xludf.DUMMYFUNCTION("""COMPUTED_VALUE"""),"186******47")</f>
        <v>186******47</v>
      </c>
      <c r="G33" s="34" t="str">
        <f>IFERROR(__xludf.DUMMYFUNCTION("""COMPUTED_VALUE"""),"INFANTIL 2")</f>
        <v>INFANTIL 2</v>
      </c>
      <c r="H33" s="65" t="str">
        <f>IFERROR(__xludf.DUMMYFUNCTION("""COMPUTED_VALUE"""),"CRECHE PROFESSORA LEDA MARIA QUEIROZ DO REGO BARROS")</f>
        <v>CRECHE PROFESSORA LEDA MARIA QUEIROZ DO REGO BARROS</v>
      </c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</row>
    <row r="34" ht="15.75" customHeight="1" spans="1:25">
      <c r="A34" s="34"/>
      <c r="B34" s="34"/>
      <c r="C34" s="63"/>
      <c r="D34" s="34"/>
      <c r="E34" s="34"/>
      <c r="F34" s="34"/>
      <c r="G34" s="34"/>
      <c r="H34" s="65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</row>
    <row r="35" ht="15.75" customHeight="1" spans="1:25">
      <c r="A35" s="34"/>
      <c r="B35" s="34"/>
      <c r="C35" s="63"/>
      <c r="D35" s="34"/>
      <c r="E35" s="34"/>
      <c r="F35" s="34"/>
      <c r="G35" s="34"/>
      <c r="H35" s="65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</row>
    <row r="36" ht="15.75" customHeight="1" spans="1:25">
      <c r="A36" s="34"/>
      <c r="B36" s="34"/>
      <c r="C36" s="63"/>
      <c r="D36" s="34"/>
      <c r="E36" s="34"/>
      <c r="F36" s="34"/>
      <c r="G36" s="34"/>
      <c r="H36" s="65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</row>
    <row r="37" ht="15.75" customHeight="1" spans="1:25">
      <c r="A37" s="34"/>
      <c r="B37" s="34"/>
      <c r="C37" s="63"/>
      <c r="D37" s="34"/>
      <c r="E37" s="34"/>
      <c r="F37" s="34"/>
      <c r="G37" s="34"/>
      <c r="H37" s="65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</row>
    <row r="38" ht="15.75" customHeight="1" spans="1:25">
      <c r="A38" s="34"/>
      <c r="B38" s="34"/>
      <c r="C38" s="63"/>
      <c r="D38" s="34"/>
      <c r="E38" s="34"/>
      <c r="F38" s="34"/>
      <c r="G38" s="34"/>
      <c r="H38" s="65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</row>
    <row r="39" ht="15.75" customHeight="1" spans="1:25">
      <c r="A39" s="34"/>
      <c r="B39" s="34"/>
      <c r="C39" s="63"/>
      <c r="D39" s="34"/>
      <c r="E39" s="34"/>
      <c r="F39" s="34"/>
      <c r="G39" s="34"/>
      <c r="H39" s="65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</row>
    <row r="40" ht="15.75" customHeight="1" spans="1:25">
      <c r="A40" s="34"/>
      <c r="B40" s="34"/>
      <c r="C40" s="63"/>
      <c r="D40" s="34"/>
      <c r="E40" s="34"/>
      <c r="F40" s="34"/>
      <c r="G40" s="34"/>
      <c r="H40" s="65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</row>
    <row r="41" ht="15.75" customHeight="1" spans="1:25">
      <c r="A41" s="34"/>
      <c r="B41" s="34"/>
      <c r="C41" s="63"/>
      <c r="D41" s="34"/>
      <c r="E41" s="34"/>
      <c r="F41" s="34"/>
      <c r="G41" s="34"/>
      <c r="H41" s="65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</row>
  </sheetData>
  <mergeCells count="16">
    <mergeCell ref="B2:Q2"/>
    <mergeCell ref="E4:Q4"/>
    <mergeCell ref="E5:H5"/>
    <mergeCell ref="I5:J5"/>
    <mergeCell ref="K5:P5"/>
    <mergeCell ref="I6:J6"/>
    <mergeCell ref="K6:L6"/>
    <mergeCell ref="M6:N6"/>
    <mergeCell ref="O6:P6"/>
    <mergeCell ref="A4:A7"/>
    <mergeCell ref="D4:D7"/>
    <mergeCell ref="Q5:Q6"/>
    <mergeCell ref="B4:C7"/>
    <mergeCell ref="B8:C10"/>
    <mergeCell ref="B11:C13"/>
    <mergeCell ref="B14:C16"/>
  </mergeCells>
  <conditionalFormatting sqref="E8:N16">
    <cfRule type="containsBlanks" dxfId="18" priority="1">
      <formula>LEN(TRIM(E8))=0</formula>
    </cfRule>
  </conditionalFormatting>
  <pageMargins left="0.75" right="0.75" top="1" bottom="1" header="0.5" footer="0.5"/>
  <headerFooter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X37"/>
  <sheetViews>
    <sheetView workbookViewId="0">
      <selection activeCell="A1" sqref="A1"/>
    </sheetView>
  </sheetViews>
  <sheetFormatPr defaultColWidth="14.43" defaultRowHeight="15" customHeight="1"/>
  <cols>
    <col min="1" max="1" width="24.43" customWidth="1"/>
    <col min="2" max="2" width="8.86" customWidth="1"/>
    <col min="3" max="3" width="42.57" customWidth="1"/>
    <col min="4" max="4" width="17.57" customWidth="1"/>
    <col min="5" max="5" width="16" customWidth="1"/>
    <col min="6" max="6" width="13.86" customWidth="1"/>
    <col min="7" max="7" width="46.71" customWidth="1"/>
    <col min="8" max="8" width="6.43" customWidth="1"/>
    <col min="9" max="9" width="11.71" customWidth="1"/>
    <col min="10" max="10" width="6.57" customWidth="1"/>
    <col min="11" max="11" width="10.57" customWidth="1"/>
    <col min="12" max="12" width="7.14" customWidth="1"/>
    <col min="13" max="13" width="9.57" customWidth="1"/>
    <col min="14" max="14" width="4.57" customWidth="1"/>
    <col min="15" max="15" width="9.86" customWidth="1"/>
    <col min="17" max="23" width="14.43" hidden="1" customWidth="1"/>
  </cols>
  <sheetData>
    <row r="1" ht="17" spans="1:24">
      <c r="A1" s="33"/>
      <c r="B1" s="33"/>
      <c r="C1" s="33"/>
      <c r="D1" s="33"/>
      <c r="E1" s="33"/>
      <c r="F1" s="33"/>
      <c r="G1" s="33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</row>
    <row r="2" ht="17" spans="1:24">
      <c r="A2" s="35" t="s">
        <v>51</v>
      </c>
      <c r="Q2" s="34"/>
      <c r="R2" s="34"/>
      <c r="S2" s="34"/>
      <c r="T2" s="34"/>
      <c r="U2" s="34"/>
      <c r="V2" s="34"/>
      <c r="W2" s="34"/>
    </row>
    <row r="3" ht="17" spans="1:24">
      <c r="A3" s="33"/>
      <c r="B3" s="33"/>
      <c r="C3" s="33"/>
      <c r="D3" s="33"/>
      <c r="E3" s="33"/>
      <c r="F3" s="33"/>
      <c r="G3" s="33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</row>
    <row r="4" ht="17" spans="1:24">
      <c r="A4" s="36" t="s">
        <v>23</v>
      </c>
      <c r="C4" s="37" t="s">
        <v>24</v>
      </c>
      <c r="D4" s="38" t="s">
        <v>25</v>
      </c>
      <c r="E4" s="39"/>
      <c r="F4" s="39"/>
      <c r="G4" s="39"/>
      <c r="H4" s="39"/>
      <c r="I4" s="39"/>
      <c r="J4" s="39"/>
      <c r="K4" s="39"/>
      <c r="L4" s="39"/>
      <c r="M4" s="39"/>
      <c r="N4" s="39"/>
      <c r="O4" s="39"/>
      <c r="P4" s="40"/>
      <c r="Q4" s="34"/>
      <c r="R4" s="34"/>
      <c r="S4" s="34"/>
      <c r="T4" s="34"/>
      <c r="U4" s="34"/>
      <c r="V4" s="34"/>
      <c r="W4" s="34"/>
    </row>
    <row r="5" ht="17" spans="1:24">
      <c r="A5" s="41"/>
      <c r="C5" s="42"/>
      <c r="D5" s="38" t="s">
        <v>26</v>
      </c>
      <c r="E5" s="39"/>
      <c r="F5" s="39"/>
      <c r="G5" s="40"/>
      <c r="H5" s="38" t="s">
        <v>27</v>
      </c>
      <c r="I5" s="40"/>
      <c r="J5" s="38" t="s">
        <v>28</v>
      </c>
      <c r="K5" s="39"/>
      <c r="L5" s="39"/>
      <c r="M5" s="39"/>
      <c r="N5" s="39"/>
      <c r="O5" s="40"/>
      <c r="P5" s="43" t="s">
        <v>29</v>
      </c>
      <c r="Q5" s="34"/>
      <c r="R5" s="34"/>
      <c r="S5" s="34"/>
      <c r="T5" s="34"/>
      <c r="U5" s="34"/>
      <c r="V5" s="34"/>
      <c r="W5" s="34"/>
    </row>
    <row r="6" ht="17" spans="1:24">
      <c r="A6" s="41"/>
      <c r="C6" s="42"/>
      <c r="D6" s="44" t="s">
        <v>30</v>
      </c>
      <c r="E6" s="44" t="s">
        <v>31</v>
      </c>
      <c r="F6" s="44" t="s">
        <v>32</v>
      </c>
      <c r="G6" s="45" t="s">
        <v>33</v>
      </c>
      <c r="H6" s="38" t="s">
        <v>32</v>
      </c>
      <c r="I6" s="40"/>
      <c r="J6" s="38" t="s">
        <v>34</v>
      </c>
      <c r="K6" s="40"/>
      <c r="L6" s="38" t="s">
        <v>35</v>
      </c>
      <c r="M6" s="40"/>
      <c r="N6" s="46" t="s">
        <v>33</v>
      </c>
      <c r="O6" s="40"/>
      <c r="P6" s="40"/>
      <c r="Q6" s="34"/>
      <c r="R6" s="34"/>
      <c r="S6" s="34"/>
      <c r="T6" s="34"/>
      <c r="U6" s="34"/>
      <c r="V6" s="34"/>
      <c r="W6" s="34"/>
    </row>
    <row r="7" ht="17" spans="1:24">
      <c r="A7" s="47"/>
      <c r="B7" s="39"/>
      <c r="C7" s="40"/>
      <c r="D7" s="44" t="s">
        <v>36</v>
      </c>
      <c r="E7" s="44" t="s">
        <v>36</v>
      </c>
      <c r="F7" s="44" t="s">
        <v>36</v>
      </c>
      <c r="G7" s="45" t="s">
        <v>36</v>
      </c>
      <c r="H7" s="44" t="s">
        <v>37</v>
      </c>
      <c r="I7" s="44" t="s">
        <v>38</v>
      </c>
      <c r="J7" s="44" t="s">
        <v>37</v>
      </c>
      <c r="K7" s="44" t="s">
        <v>38</v>
      </c>
      <c r="L7" s="44" t="s">
        <v>37</v>
      </c>
      <c r="M7" s="44" t="s">
        <v>38</v>
      </c>
      <c r="N7" s="45" t="s">
        <v>37</v>
      </c>
      <c r="O7" s="45" t="s">
        <v>38</v>
      </c>
      <c r="P7" s="48" t="s">
        <v>39</v>
      </c>
      <c r="Q7" s="34"/>
      <c r="R7" s="34"/>
      <c r="S7" s="34"/>
      <c r="T7" s="34"/>
      <c r="U7" s="34"/>
      <c r="V7" s="34"/>
      <c r="W7" s="34"/>
    </row>
    <row r="8" ht="17" spans="1:24">
      <c r="A8" s="49" t="s">
        <v>52</v>
      </c>
      <c r="B8" s="42"/>
      <c r="C8" s="50" t="s">
        <v>41</v>
      </c>
      <c r="D8" s="51"/>
      <c r="E8" s="51"/>
      <c r="F8" s="51"/>
      <c r="G8" s="52">
        <v>0</v>
      </c>
      <c r="H8" s="51">
        <v>36</v>
      </c>
      <c r="I8" s="51">
        <v>36</v>
      </c>
      <c r="J8" s="51">
        <v>60</v>
      </c>
      <c r="K8" s="51">
        <v>60</v>
      </c>
      <c r="L8" s="51">
        <v>60</v>
      </c>
      <c r="M8" s="51">
        <v>60</v>
      </c>
      <c r="N8" s="52">
        <v>156</v>
      </c>
      <c r="O8" s="52">
        <v>156</v>
      </c>
      <c r="P8" s="53">
        <v>312</v>
      </c>
      <c r="Q8" s="34"/>
      <c r="R8" s="34"/>
      <c r="S8" s="34"/>
      <c r="T8" s="34"/>
      <c r="U8" s="34"/>
      <c r="V8" s="34"/>
      <c r="W8" s="34"/>
      <c r="X8" s="6"/>
    </row>
    <row r="9" ht="17" spans="1:24">
      <c r="A9" s="41"/>
      <c r="B9" s="42"/>
      <c r="C9" s="50" t="s">
        <v>42</v>
      </c>
      <c r="D9" s="51">
        <v>0</v>
      </c>
      <c r="E9" s="51"/>
      <c r="F9" s="51"/>
      <c r="G9" s="52">
        <v>0</v>
      </c>
      <c r="H9" s="51">
        <v>27</v>
      </c>
      <c r="I9" s="51">
        <v>36</v>
      </c>
      <c r="J9" s="51">
        <v>38</v>
      </c>
      <c r="K9" s="51">
        <v>60</v>
      </c>
      <c r="L9" s="51">
        <v>57</v>
      </c>
      <c r="M9" s="51">
        <v>60</v>
      </c>
      <c r="N9" s="52">
        <v>122</v>
      </c>
      <c r="O9" s="52">
        <v>156</v>
      </c>
      <c r="P9" s="54">
        <v>278</v>
      </c>
      <c r="Q9" s="34"/>
      <c r="R9" s="34"/>
      <c r="S9" s="34"/>
      <c r="T9" s="34"/>
      <c r="U9" s="34"/>
      <c r="V9" s="34"/>
      <c r="W9" s="34"/>
      <c r="X9" s="6"/>
    </row>
    <row r="10" ht="17" spans="1:24">
      <c r="A10" s="47"/>
      <c r="B10" s="40"/>
      <c r="C10" s="55" t="s">
        <v>43</v>
      </c>
      <c r="D10" s="56">
        <v>0</v>
      </c>
      <c r="E10" s="56">
        <v>0</v>
      </c>
      <c r="F10" s="56">
        <v>0</v>
      </c>
      <c r="G10" s="56">
        <v>0</v>
      </c>
      <c r="H10" s="56">
        <v>9</v>
      </c>
      <c r="I10" s="56">
        <v>0</v>
      </c>
      <c r="J10" s="56">
        <v>22</v>
      </c>
      <c r="K10" s="56">
        <v>0</v>
      </c>
      <c r="L10" s="56">
        <v>3</v>
      </c>
      <c r="M10" s="56">
        <v>0</v>
      </c>
      <c r="N10" s="56">
        <v>34</v>
      </c>
      <c r="O10" s="56">
        <v>0</v>
      </c>
      <c r="P10" s="56">
        <v>34</v>
      </c>
      <c r="Q10" s="34"/>
      <c r="R10" s="34"/>
      <c r="S10" s="34"/>
      <c r="T10" s="34"/>
      <c r="U10" s="34"/>
      <c r="V10" s="34"/>
      <c r="W10" s="34"/>
      <c r="X10" s="6"/>
    </row>
    <row r="11" ht="17" spans="1:24">
      <c r="A11" s="49" t="s">
        <v>53</v>
      </c>
      <c r="B11" s="42"/>
      <c r="C11" s="50" t="s">
        <v>41</v>
      </c>
      <c r="D11" s="51">
        <v>30</v>
      </c>
      <c r="E11" s="51">
        <v>45</v>
      </c>
      <c r="F11" s="51">
        <v>40</v>
      </c>
      <c r="G11" s="52">
        <v>115</v>
      </c>
      <c r="H11" s="51"/>
      <c r="I11" s="51"/>
      <c r="J11" s="51"/>
      <c r="K11" s="51"/>
      <c r="L11" s="51"/>
      <c r="M11" s="51"/>
      <c r="N11" s="52">
        <v>0</v>
      </c>
      <c r="O11" s="52">
        <v>0</v>
      </c>
      <c r="P11" s="53">
        <v>115</v>
      </c>
      <c r="Q11" s="34"/>
      <c r="R11" s="34"/>
      <c r="S11" s="34"/>
      <c r="T11" s="34"/>
      <c r="U11" s="34"/>
      <c r="V11" s="34"/>
      <c r="W11" s="34"/>
      <c r="X11" s="6"/>
    </row>
    <row r="12" ht="17" spans="1:24">
      <c r="A12" s="41"/>
      <c r="B12" s="42"/>
      <c r="C12" s="50" t="s">
        <v>42</v>
      </c>
      <c r="D12" s="51">
        <v>30</v>
      </c>
      <c r="E12" s="51">
        <v>45</v>
      </c>
      <c r="F12" s="51">
        <v>43</v>
      </c>
      <c r="G12" s="52">
        <v>83</v>
      </c>
      <c r="H12" s="51">
        <v>0</v>
      </c>
      <c r="I12" s="51">
        <v>0</v>
      </c>
      <c r="J12" s="51">
        <v>0</v>
      </c>
      <c r="K12" s="51">
        <v>0</v>
      </c>
      <c r="L12" s="51">
        <v>0</v>
      </c>
      <c r="M12" s="51">
        <v>0</v>
      </c>
      <c r="N12" s="52">
        <v>0</v>
      </c>
      <c r="O12" s="52">
        <v>0</v>
      </c>
      <c r="P12" s="54">
        <v>83</v>
      </c>
      <c r="Q12" s="34"/>
      <c r="R12" s="34"/>
      <c r="S12" s="34"/>
      <c r="T12" s="34"/>
      <c r="U12" s="34"/>
      <c r="V12" s="34"/>
      <c r="W12" s="34"/>
      <c r="X12" s="6"/>
    </row>
    <row r="13" ht="17" spans="1:24">
      <c r="A13" s="47"/>
      <c r="B13" s="40"/>
      <c r="C13" s="55" t="s">
        <v>43</v>
      </c>
      <c r="D13" s="56">
        <v>0</v>
      </c>
      <c r="E13" s="56">
        <v>0</v>
      </c>
      <c r="F13" s="56">
        <v>-3</v>
      </c>
      <c r="G13" s="56">
        <v>32</v>
      </c>
      <c r="H13" s="56">
        <v>0</v>
      </c>
      <c r="I13" s="56">
        <v>0</v>
      </c>
      <c r="J13" s="56">
        <v>0</v>
      </c>
      <c r="K13" s="56">
        <v>0</v>
      </c>
      <c r="L13" s="56">
        <v>0</v>
      </c>
      <c r="M13" s="56">
        <v>0</v>
      </c>
      <c r="N13" s="56">
        <v>0</v>
      </c>
      <c r="O13" s="56">
        <v>0</v>
      </c>
      <c r="P13" s="56">
        <v>32</v>
      </c>
      <c r="Q13" s="34"/>
      <c r="R13" s="34"/>
      <c r="S13" s="34"/>
      <c r="T13" s="34"/>
      <c r="U13" s="34"/>
      <c r="V13" s="34"/>
      <c r="W13" s="34"/>
      <c r="X13" s="6"/>
    </row>
    <row r="14" ht="17" spans="1:24">
      <c r="A14" s="49" t="s">
        <v>50</v>
      </c>
      <c r="B14" s="42"/>
      <c r="C14" s="50" t="s">
        <v>41</v>
      </c>
      <c r="D14" s="51"/>
      <c r="E14" s="51"/>
      <c r="F14" s="51"/>
      <c r="G14" s="52">
        <v>0</v>
      </c>
      <c r="H14" s="51"/>
      <c r="I14" s="51"/>
      <c r="J14" s="51"/>
      <c r="K14" s="51"/>
      <c r="L14" s="51"/>
      <c r="M14" s="51"/>
      <c r="N14" s="52">
        <v>0</v>
      </c>
      <c r="O14" s="52">
        <v>0</v>
      </c>
      <c r="P14" s="53">
        <v>0</v>
      </c>
      <c r="Q14" s="34"/>
      <c r="R14" s="34"/>
      <c r="S14" s="34"/>
      <c r="T14" s="34"/>
      <c r="U14" s="34"/>
      <c r="V14" s="34"/>
      <c r="W14" s="34"/>
      <c r="X14" s="6"/>
    </row>
    <row r="15" ht="17" spans="1:24">
      <c r="A15" s="41"/>
      <c r="B15" s="42"/>
      <c r="C15" s="50" t="s">
        <v>42</v>
      </c>
      <c r="D15" s="51"/>
      <c r="E15" s="51"/>
      <c r="F15" s="51"/>
      <c r="G15" s="52">
        <v>0</v>
      </c>
      <c r="H15" s="51">
        <v>0</v>
      </c>
      <c r="I15" s="51">
        <v>0</v>
      </c>
      <c r="J15" s="51">
        <v>0</v>
      </c>
      <c r="K15" s="51">
        <v>0</v>
      </c>
      <c r="L15" s="51">
        <v>0</v>
      </c>
      <c r="M15" s="51">
        <v>0</v>
      </c>
      <c r="N15" s="52">
        <v>0</v>
      </c>
      <c r="O15" s="52">
        <v>0</v>
      </c>
      <c r="P15" s="54">
        <v>0</v>
      </c>
      <c r="Q15" s="34"/>
      <c r="R15" s="34"/>
      <c r="S15" s="34"/>
      <c r="T15" s="34"/>
      <c r="U15" s="34"/>
      <c r="V15" s="34"/>
      <c r="W15" s="34"/>
      <c r="X15" s="6"/>
    </row>
    <row r="16" ht="17" spans="1:24">
      <c r="A16" s="47"/>
      <c r="B16" s="40"/>
      <c r="C16" s="55" t="s">
        <v>43</v>
      </c>
      <c r="D16" s="56">
        <v>0</v>
      </c>
      <c r="E16" s="56">
        <v>0</v>
      </c>
      <c r="F16" s="56">
        <v>0</v>
      </c>
      <c r="G16" s="56">
        <v>0</v>
      </c>
      <c r="H16" s="56">
        <v>0</v>
      </c>
      <c r="I16" s="56">
        <v>0</v>
      </c>
      <c r="J16" s="56">
        <v>0</v>
      </c>
      <c r="K16" s="56">
        <v>0</v>
      </c>
      <c r="L16" s="56">
        <v>0</v>
      </c>
      <c r="M16" s="56">
        <v>0</v>
      </c>
      <c r="N16" s="56">
        <v>0</v>
      </c>
      <c r="O16" s="56">
        <v>0</v>
      </c>
      <c r="P16" s="56">
        <v>0</v>
      </c>
      <c r="Q16" s="34"/>
      <c r="R16" s="34"/>
      <c r="S16" s="34"/>
      <c r="T16" s="34"/>
      <c r="U16" s="34"/>
      <c r="V16" s="34"/>
      <c r="W16" s="34"/>
      <c r="X16" s="6"/>
    </row>
    <row r="17" ht="17" spans="1:24">
      <c r="A17" s="33"/>
      <c r="B17" s="33"/>
      <c r="C17" s="33"/>
      <c r="D17" s="33"/>
      <c r="E17" s="33"/>
      <c r="F17" s="33"/>
      <c r="G17" s="33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</row>
    <row r="18" ht="17" spans="1:24">
      <c r="A18" s="33"/>
      <c r="B18" s="33"/>
      <c r="C18" s="33"/>
      <c r="D18" s="33"/>
      <c r="E18" s="33"/>
      <c r="F18" s="33"/>
      <c r="G18" s="33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</row>
    <row r="19" ht="17" spans="1:24">
      <c r="A19" s="33"/>
      <c r="B19" s="33"/>
      <c r="C19" s="33"/>
      <c r="D19" s="33"/>
      <c r="E19" s="33"/>
      <c r="F19" s="33"/>
      <c r="G19" s="33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34"/>
      <c r="W19" s="34"/>
    </row>
    <row r="20" ht="34" spans="1:24">
      <c r="A20" s="81" t="s">
        <v>14</v>
      </c>
      <c r="B20" s="82" t="s">
        <v>6</v>
      </c>
      <c r="C20" s="82" t="s">
        <v>15</v>
      </c>
      <c r="D20" s="82" t="s">
        <v>16</v>
      </c>
      <c r="E20" s="82" t="s">
        <v>10</v>
      </c>
      <c r="F20" s="83" t="s">
        <v>17</v>
      </c>
      <c r="G20" s="83" t="s">
        <v>18</v>
      </c>
      <c r="H20" s="84"/>
      <c r="I20" s="84"/>
      <c r="J20" s="84"/>
      <c r="K20" s="84"/>
      <c r="L20" s="84"/>
      <c r="M20" s="84"/>
      <c r="N20" s="84"/>
      <c r="O20" s="84"/>
      <c r="P20" s="84"/>
      <c r="Q20" s="84"/>
      <c r="R20" s="84"/>
      <c r="S20" s="84"/>
      <c r="T20" s="84"/>
      <c r="U20" s="84"/>
      <c r="V20" s="84"/>
      <c r="W20" s="84"/>
      <c r="X20" s="84"/>
    </row>
    <row r="21" ht="15.75" customHeight="1" spans="1:24">
      <c r="A21" s="62" t="str">
        <f>IFERROR(__xludf.DUMMYFUNCTION("QUERY(dados_02!$A$2:$H$675, ""SELECT Col1, Col2, Col3, Col4, Col5, Col6, Col7  where Col8 = 'REGIONAL 3' "")"),"20/04/2026 09:51:30")</f>
        <v>20/04/2026 09:51:30</v>
      </c>
      <c r="B21" s="63" t="str">
        <f>IFERROR(__xludf.DUMMYFUNCTION("""COMPUTED_VALUE"""),"1")</f>
        <v>1</v>
      </c>
      <c r="C21" s="34" t="str">
        <f>IFERROR(__xludf.DUMMYFUNCTION("""COMPUTED_VALUE"""),"H. D. L. A")</f>
        <v>H. D. L. A</v>
      </c>
      <c r="D21" s="64" t="str">
        <f>IFERROR(__xludf.DUMMYFUNCTION("""COMPUTED_VALUE"""),"13/06/2022")</f>
        <v>13/06/2022</v>
      </c>
      <c r="E21" s="34" t="str">
        <f>IFERROR(__xludf.DUMMYFUNCTION("""COMPUTED_VALUE"""),"182******64")</f>
        <v>182******64</v>
      </c>
      <c r="F21" s="34" t="str">
        <f>IFERROR(__xludf.DUMMYFUNCTION("""COMPUTED_VALUE"""),"INFANTIL 3")</f>
        <v>INFANTIL 3</v>
      </c>
      <c r="G21" s="34" t="str">
        <f>IFERROR(__xludf.DUMMYFUNCTION("""COMPUTED_VALUE"""),"CEMEI EDVALDO SEVERIANO DE OLIVEIRA")</f>
        <v>CEMEI EDVALDO SEVERIANO DE OLIVEIRA</v>
      </c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</row>
    <row r="22" ht="15.75" customHeight="1" spans="1:24">
      <c r="A22" s="62" t="str">
        <f>IFERROR(__xludf.DUMMYFUNCTION("""COMPUTED_VALUE"""),"29/01/2026 13:35:30")</f>
        <v>29/01/2026 13:35:30</v>
      </c>
      <c r="B22" s="63" t="str">
        <f>IFERROR(__xludf.DUMMYFUNCTION("""COMPUTED_VALUE"""),"1")</f>
        <v>1</v>
      </c>
      <c r="C22" s="34" t="str">
        <f>IFERROR(__xludf.DUMMYFUNCTION("""COMPUTED_VALUE"""),"J. D. D. S")</f>
        <v>J. D. D. S</v>
      </c>
      <c r="D22" s="64" t="str">
        <f>IFERROR(__xludf.DUMMYFUNCTION("""COMPUTED_VALUE"""),"26/08/2024")</f>
        <v>26/08/2024</v>
      </c>
      <c r="E22" s="34" t="str">
        <f>IFERROR(__xludf.DUMMYFUNCTION("""COMPUTED_VALUE"""),"003******39")</f>
        <v>003******39</v>
      </c>
      <c r="F22" s="34" t="str">
        <f>IFERROR(__xludf.DUMMYFUNCTION("""COMPUTED_VALUE"""),"INFANTIL 1")</f>
        <v>INFANTIL 1</v>
      </c>
      <c r="G22" s="34" t="str">
        <f>IFERROR(__xludf.DUMMYFUNCTION("""COMPUTED_VALUE"""),"CRECHE MUNDO ENCANTADO")</f>
        <v>CRECHE MUNDO ENCANTADO</v>
      </c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</row>
    <row r="23" ht="15.75" customHeight="1" spans="1:24">
      <c r="A23" s="62" t="str">
        <f>IFERROR(__xludf.DUMMYFUNCTION("""COMPUTED_VALUE"""),"29/01/2026 14:12:29")</f>
        <v>29/01/2026 14:12:29</v>
      </c>
      <c r="B23" s="63" t="str">
        <f>IFERROR(__xludf.DUMMYFUNCTION("""COMPUTED_VALUE"""),"2")</f>
        <v>2</v>
      </c>
      <c r="C23" s="34" t="str">
        <f>IFERROR(__xludf.DUMMYFUNCTION("""COMPUTED_VALUE"""),"J. F. B. D. S. C")</f>
        <v>J. F. B. D. S. C</v>
      </c>
      <c r="D23" s="64" t="str">
        <f>IFERROR(__xludf.DUMMYFUNCTION("""COMPUTED_VALUE"""),"13/03/2025")</f>
        <v>13/03/2025</v>
      </c>
      <c r="E23" s="34" t="str">
        <f>IFERROR(__xludf.DUMMYFUNCTION("""COMPUTED_VALUE"""),"006******02")</f>
        <v>006******02</v>
      </c>
      <c r="F23" s="34" t="str">
        <f>IFERROR(__xludf.DUMMYFUNCTION("""COMPUTED_VALUE"""),"INFANTIL 1")</f>
        <v>INFANTIL 1</v>
      </c>
      <c r="G23" s="34" t="str">
        <f>IFERROR(__xludf.DUMMYFUNCTION("""COMPUTED_VALUE"""),"CRECHE MUNDO ENCANTADO")</f>
        <v>CRECHE MUNDO ENCANTADO</v>
      </c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</row>
    <row r="24" ht="15.75" customHeight="1" spans="1:24">
      <c r="A24" s="62" t="str">
        <f>IFERROR(__xludf.DUMMYFUNCTION("""COMPUTED_VALUE"""),"19/02/2026 21:16:01")</f>
        <v>19/02/2026 21:16:01</v>
      </c>
      <c r="B24" s="63" t="str">
        <f>IFERROR(__xludf.DUMMYFUNCTION("""COMPUTED_VALUE"""),"3")</f>
        <v>3</v>
      </c>
      <c r="C24" s="34" t="str">
        <f>IFERROR(__xludf.DUMMYFUNCTION("""COMPUTED_VALUE"""),"H. A. D. S")</f>
        <v>H. A. D. S</v>
      </c>
      <c r="D24" s="64" t="str">
        <f>IFERROR(__xludf.DUMMYFUNCTION("""COMPUTED_VALUE"""),"19/05/2024")</f>
        <v>19/05/2024</v>
      </c>
      <c r="E24" s="34" t="str">
        <f>IFERROR(__xludf.DUMMYFUNCTION("""COMPUTED_VALUE"""),"003******24")</f>
        <v>003******24</v>
      </c>
      <c r="F24" s="34" t="str">
        <f>IFERROR(__xludf.DUMMYFUNCTION("""COMPUTED_VALUE"""),"INFANTIL 1")</f>
        <v>INFANTIL 1</v>
      </c>
      <c r="G24" s="34" t="str">
        <f>IFERROR(__xludf.DUMMYFUNCTION("""COMPUTED_VALUE"""),"CRECHE MUNDO ENCANTADO")</f>
        <v>CRECHE MUNDO ENCANTADO</v>
      </c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</row>
    <row r="25" ht="15.75" customHeight="1" spans="1:24">
      <c r="A25" s="34" t="str">
        <f>IFERROR(__xludf.DUMMYFUNCTION("""COMPUTED_VALUE"""),"28/02/2026 20:58:43")</f>
        <v>28/02/2026 20:58:43</v>
      </c>
      <c r="B25" s="63" t="str">
        <f>IFERROR(__xludf.DUMMYFUNCTION("""COMPUTED_VALUE"""),"4")</f>
        <v>4</v>
      </c>
      <c r="C25" s="34" t="str">
        <f>IFERROR(__xludf.DUMMYFUNCTION("""COMPUTED_VALUE"""),"L. G. P. D. S")</f>
        <v>L. G. P. D. S</v>
      </c>
      <c r="D25" s="34" t="str">
        <f>IFERROR(__xludf.DUMMYFUNCTION("""COMPUTED_VALUE"""),"12/04/2025")</f>
        <v>12/04/2025</v>
      </c>
      <c r="E25" s="34" t="str">
        <f>IFERROR(__xludf.DUMMYFUNCTION("""COMPUTED_VALUE"""),"005******46")</f>
        <v>005******46</v>
      </c>
      <c r="F25" s="34" t="str">
        <f>IFERROR(__xludf.DUMMYFUNCTION("""COMPUTED_VALUE"""),"INFANTIL 1")</f>
        <v>INFANTIL 1</v>
      </c>
      <c r="G25" s="34" t="str">
        <f>IFERROR(__xludf.DUMMYFUNCTION("""COMPUTED_VALUE"""),"CRECHE MUNDO ENCANTADO")</f>
        <v>CRECHE MUNDO ENCANTADO</v>
      </c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</row>
    <row r="26" ht="15.75" customHeight="1" spans="1:24">
      <c r="A26" s="34" t="str">
        <f>IFERROR(__xludf.DUMMYFUNCTION("""COMPUTED_VALUE"""),"28/04/2026 11:00:10")</f>
        <v>28/04/2026 11:00:10</v>
      </c>
      <c r="B26" s="63" t="str">
        <f>IFERROR(__xludf.DUMMYFUNCTION("""COMPUTED_VALUE"""),"5")</f>
        <v>5</v>
      </c>
      <c r="C26" s="34" t="str">
        <f>IFERROR(__xludf.DUMMYFUNCTION("""COMPUTED_VALUE"""),"M. G. S. G")</f>
        <v>M. G. S. G</v>
      </c>
      <c r="D26" s="34" t="str">
        <f>IFERROR(__xludf.DUMMYFUNCTION("""COMPUTED_VALUE"""),"11/04/2025")</f>
        <v>11/04/2025</v>
      </c>
      <c r="E26" s="34" t="str">
        <f>IFERROR(__xludf.DUMMYFUNCTION("""COMPUTED_VALUE"""),"005******19")</f>
        <v>005******19</v>
      </c>
      <c r="F26" s="34" t="str">
        <f>IFERROR(__xludf.DUMMYFUNCTION("""COMPUTED_VALUE"""),"INFANTIL 1")</f>
        <v>INFANTIL 1</v>
      </c>
      <c r="G26" s="34" t="str">
        <f>IFERROR(__xludf.DUMMYFUNCTION("""COMPUTED_VALUE"""),"CRECHE MUNDO ENCANTADO")</f>
        <v>CRECHE MUNDO ENCANTADO</v>
      </c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</row>
    <row r="27" ht="15.75" customHeight="1" spans="1:24">
      <c r="A27" s="34" t="str">
        <f>IFERROR(__xludf.DUMMYFUNCTION("""COMPUTED_VALUE"""),"25/05/2026 18:39:15")</f>
        <v>25/05/2026 18:39:15</v>
      </c>
      <c r="B27" s="63" t="str">
        <f>IFERROR(__xludf.DUMMYFUNCTION("""COMPUTED_VALUE"""),"6")</f>
        <v>6</v>
      </c>
      <c r="C27" s="34" t="str">
        <f>IFERROR(__xludf.DUMMYFUNCTION("""COMPUTED_VALUE"""),"M. Y. R. M. V")</f>
        <v>M. Y. R. M. V</v>
      </c>
      <c r="D27" s="34" t="str">
        <f>IFERROR(__xludf.DUMMYFUNCTION("""COMPUTED_VALUE"""),"29/12/2024")</f>
        <v>29/12/2024</v>
      </c>
      <c r="E27" s="34" t="str">
        <f>IFERROR(__xludf.DUMMYFUNCTION("""COMPUTED_VALUE"""),"004******67")</f>
        <v>004******67</v>
      </c>
      <c r="F27" s="34" t="str">
        <f>IFERROR(__xludf.DUMMYFUNCTION("""COMPUTED_VALUE"""),"INFANTIL 1")</f>
        <v>INFANTIL 1</v>
      </c>
      <c r="G27" s="34" t="str">
        <f>IFERROR(__xludf.DUMMYFUNCTION("""COMPUTED_VALUE"""),"CRECHE MUNDO ENCANTADO")</f>
        <v>CRECHE MUNDO ENCANTADO</v>
      </c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</row>
    <row r="28" ht="15.75" customHeight="1" spans="1:24">
      <c r="A28" s="34" t="str">
        <f>IFERROR(__xludf.DUMMYFUNCTION("""COMPUTED_VALUE"""),"04/02/2026 15:08:15")</f>
        <v>04/02/2026 15:08:15</v>
      </c>
      <c r="B28" s="63" t="str">
        <f>IFERROR(__xludf.DUMMYFUNCTION("""COMPUTED_VALUE"""),"1")</f>
        <v>1</v>
      </c>
      <c r="C28" s="34" t="str">
        <f>IFERROR(__xludf.DUMMYFUNCTION("""COMPUTED_VALUE"""),"D. L. D. S. D. N")</f>
        <v>D. L. D. S. D. N</v>
      </c>
      <c r="D28" s="34" t="str">
        <f>IFERROR(__xludf.DUMMYFUNCTION("""COMPUTED_VALUE"""),"27/09/2023")</f>
        <v>27/09/2023</v>
      </c>
      <c r="E28" s="34" t="str">
        <f>IFERROR(__xludf.DUMMYFUNCTION("""COMPUTED_VALUE"""),"000******32")</f>
        <v>000******32</v>
      </c>
      <c r="F28" s="34" t="str">
        <f>IFERROR(__xludf.DUMMYFUNCTION("""COMPUTED_VALUE"""),"INFANTIL 2")</f>
        <v>INFANTIL 2</v>
      </c>
      <c r="G28" s="34" t="str">
        <f>IFERROR(__xludf.DUMMYFUNCTION("""COMPUTED_VALUE"""),"CRECHE MUNDO ENCANTADO")</f>
        <v>CRECHE MUNDO ENCANTADO</v>
      </c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</row>
    <row r="29" ht="15.75" customHeight="1" spans="1:24">
      <c r="A29" s="34" t="str">
        <f>IFERROR(__xludf.DUMMYFUNCTION("""COMPUTED_VALUE"""),"09/02/2026 08:21:31")</f>
        <v>09/02/2026 08:21:31</v>
      </c>
      <c r="B29" s="63" t="str">
        <f>IFERROR(__xludf.DUMMYFUNCTION("""COMPUTED_VALUE"""),"2")</f>
        <v>2</v>
      </c>
      <c r="C29" s="34" t="str">
        <f>IFERROR(__xludf.DUMMYFUNCTION("""COMPUTED_VALUE"""),"A. P. C. D. S")</f>
        <v>A. P. C. D. S</v>
      </c>
      <c r="D29" s="34" t="str">
        <f>IFERROR(__xludf.DUMMYFUNCTION("""COMPUTED_VALUE"""),"16/12/2023")</f>
        <v>16/12/2023</v>
      </c>
      <c r="E29" s="34" t="str">
        <f>IFERROR(__xludf.DUMMYFUNCTION("""COMPUTED_VALUE"""),"001******77")</f>
        <v>001******77</v>
      </c>
      <c r="F29" s="34" t="str">
        <f>IFERROR(__xludf.DUMMYFUNCTION("""COMPUTED_VALUE"""),"INFANTIL 2")</f>
        <v>INFANTIL 2</v>
      </c>
      <c r="G29" s="34" t="str">
        <f>IFERROR(__xludf.DUMMYFUNCTION("""COMPUTED_VALUE"""),"CRECHE MUNDO ENCANTADO")</f>
        <v>CRECHE MUNDO ENCANTADO</v>
      </c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</row>
    <row r="30" ht="15.75" customHeight="1" spans="1:24">
      <c r="A30" s="34" t="str">
        <f>IFERROR(__xludf.DUMMYFUNCTION("""COMPUTED_VALUE"""),"04/03/2026 22:04:48")</f>
        <v>04/03/2026 22:04:48</v>
      </c>
      <c r="B30" s="63" t="str">
        <f>IFERROR(__xludf.DUMMYFUNCTION("""COMPUTED_VALUE"""),"3")</f>
        <v>3</v>
      </c>
      <c r="C30" s="34" t="str">
        <f>IFERROR(__xludf.DUMMYFUNCTION("""COMPUTED_VALUE"""),"J. L. P. D. S")</f>
        <v>J. L. P. D. S</v>
      </c>
      <c r="D30" s="34" t="str">
        <f>IFERROR(__xludf.DUMMYFUNCTION("""COMPUTED_VALUE"""),"19/12/2023")</f>
        <v>19/12/2023</v>
      </c>
      <c r="E30" s="34" t="str">
        <f>IFERROR(__xludf.DUMMYFUNCTION("""COMPUTED_VALUE"""),"001******10")</f>
        <v>001******10</v>
      </c>
      <c r="F30" s="34" t="str">
        <f>IFERROR(__xludf.DUMMYFUNCTION("""COMPUTED_VALUE"""),"INFANTIL 2")</f>
        <v>INFANTIL 2</v>
      </c>
      <c r="G30" s="34" t="str">
        <f>IFERROR(__xludf.DUMMYFUNCTION("""COMPUTED_VALUE"""),"CRECHE MUNDO ENCANTADO")</f>
        <v>CRECHE MUNDO ENCANTADO</v>
      </c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</row>
    <row r="31" ht="15.75" customHeight="1" spans="1:24">
      <c r="A31" s="34"/>
      <c r="B31" s="63"/>
      <c r="C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</row>
    <row r="32" ht="15.75" customHeight="1" spans="1:24">
      <c r="A32" s="34"/>
      <c r="B32" s="63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</row>
    <row r="33" ht="15.75" customHeight="1" spans="1:24">
      <c r="A33" s="34"/>
      <c r="B33" s="63"/>
      <c r="C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</row>
    <row r="34" ht="15.75" customHeight="1" spans="1:24">
      <c r="A34" s="34"/>
      <c r="B34" s="63"/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</row>
    <row r="35" ht="15.75" customHeight="1" spans="1:24">
      <c r="A35" s="34"/>
      <c r="B35" s="63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</row>
    <row r="36" ht="15.75" customHeight="1" spans="1:24">
      <c r="A36" s="34"/>
      <c r="B36" s="63"/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</row>
    <row r="37" ht="15.75" customHeight="1" spans="1:24">
      <c r="A37" s="34"/>
      <c r="B37" s="63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</row>
  </sheetData>
  <mergeCells count="15">
    <mergeCell ref="A2:P2"/>
    <mergeCell ref="D4:P4"/>
    <mergeCell ref="D5:G5"/>
    <mergeCell ref="H5:I5"/>
    <mergeCell ref="J5:O5"/>
    <mergeCell ref="H6:I6"/>
    <mergeCell ref="J6:K6"/>
    <mergeCell ref="L6:M6"/>
    <mergeCell ref="N6:O6"/>
    <mergeCell ref="C4:C7"/>
    <mergeCell ref="P5:P6"/>
    <mergeCell ref="A4:B7"/>
    <mergeCell ref="A8:B10"/>
    <mergeCell ref="A11:B13"/>
    <mergeCell ref="A14:B16"/>
  </mergeCells>
  <conditionalFormatting sqref="D8:M16">
    <cfRule type="containsBlanks" dxfId="18" priority="1">
      <formula>LEN(TRIM(D8))=0</formula>
    </cfRule>
  </conditionalFormatting>
  <pageMargins left="0.75" right="0.75" top="1" bottom="1" header="0.5" footer="0.5"/>
  <headerFooter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X46"/>
  <sheetViews>
    <sheetView workbookViewId="0">
      <selection activeCell="A1" sqref="A1"/>
    </sheetView>
  </sheetViews>
  <sheetFormatPr defaultColWidth="14.43" defaultRowHeight="15" customHeight="1"/>
  <cols>
    <col min="1" max="1" width="24.43" customWidth="1"/>
    <col min="2" max="2" width="9.71" customWidth="1"/>
    <col min="3" max="3" width="42.57" customWidth="1"/>
    <col min="4" max="4" width="15.86" customWidth="1"/>
    <col min="5" max="5" width="16" customWidth="1"/>
    <col min="6" max="6" width="13" customWidth="1"/>
    <col min="7" max="7" width="46.71" customWidth="1"/>
    <col min="8" max="8" width="6.43" customWidth="1"/>
    <col min="9" max="9" width="11.71" customWidth="1"/>
    <col min="10" max="10" width="6.57" customWidth="1"/>
    <col min="11" max="11" width="10.57" customWidth="1"/>
    <col min="12" max="12" width="7.14" customWidth="1"/>
    <col min="13" max="13" width="9.57" customWidth="1"/>
    <col min="14" max="14" width="4.57" customWidth="1"/>
    <col min="15" max="15" width="9.86" customWidth="1"/>
    <col min="17" max="23" width="14.43" hidden="1" customWidth="1"/>
  </cols>
  <sheetData>
    <row r="1" ht="17" spans="1:24">
      <c r="A1" s="33"/>
      <c r="B1" s="33"/>
      <c r="C1" s="33"/>
      <c r="D1" s="33"/>
      <c r="E1" s="33"/>
      <c r="F1" s="33"/>
      <c r="G1" s="33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</row>
    <row r="2" ht="17" spans="1:24">
      <c r="A2" s="35" t="s">
        <v>54</v>
      </c>
      <c r="Q2" s="34"/>
      <c r="R2" s="34"/>
      <c r="S2" s="34"/>
      <c r="T2" s="34"/>
      <c r="U2" s="34"/>
      <c r="V2" s="34"/>
      <c r="W2" s="34"/>
    </row>
    <row r="3" ht="17" spans="1:24">
      <c r="A3" s="33"/>
      <c r="B3" s="33"/>
      <c r="C3" s="33"/>
      <c r="D3" s="33"/>
      <c r="E3" s="33"/>
      <c r="F3" s="33"/>
      <c r="G3" s="33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</row>
    <row r="4" ht="17" spans="1:24">
      <c r="A4" s="36" t="s">
        <v>23</v>
      </c>
      <c r="C4" s="37" t="s">
        <v>24</v>
      </c>
      <c r="D4" s="38" t="s">
        <v>25</v>
      </c>
      <c r="E4" s="39"/>
      <c r="F4" s="39"/>
      <c r="G4" s="39"/>
      <c r="H4" s="39"/>
      <c r="I4" s="39"/>
      <c r="J4" s="39"/>
      <c r="K4" s="39"/>
      <c r="L4" s="39"/>
      <c r="M4" s="39"/>
      <c r="N4" s="39"/>
      <c r="O4" s="39"/>
      <c r="P4" s="40"/>
      <c r="Q4" s="34"/>
      <c r="R4" s="34"/>
      <c r="S4" s="34"/>
      <c r="T4" s="34"/>
      <c r="U4" s="34"/>
      <c r="V4" s="34"/>
      <c r="W4" s="34"/>
    </row>
    <row r="5" ht="17" spans="1:24">
      <c r="A5" s="41"/>
      <c r="C5" s="42"/>
      <c r="D5" s="38" t="s">
        <v>26</v>
      </c>
      <c r="E5" s="39"/>
      <c r="F5" s="39"/>
      <c r="G5" s="40"/>
      <c r="H5" s="38" t="s">
        <v>27</v>
      </c>
      <c r="I5" s="40"/>
      <c r="J5" s="38" t="s">
        <v>28</v>
      </c>
      <c r="K5" s="39"/>
      <c r="L5" s="39"/>
      <c r="M5" s="39"/>
      <c r="N5" s="39"/>
      <c r="O5" s="40"/>
      <c r="P5" s="43" t="s">
        <v>29</v>
      </c>
      <c r="Q5" s="34"/>
      <c r="R5" s="34"/>
      <c r="S5" s="34"/>
      <c r="T5" s="34"/>
      <c r="U5" s="34"/>
      <c r="V5" s="34"/>
      <c r="W5" s="34"/>
    </row>
    <row r="6" ht="17" spans="1:24">
      <c r="A6" s="41"/>
      <c r="C6" s="42"/>
      <c r="D6" s="44" t="s">
        <v>30</v>
      </c>
      <c r="E6" s="44" t="s">
        <v>31</v>
      </c>
      <c r="F6" s="44" t="s">
        <v>32</v>
      </c>
      <c r="G6" s="45" t="s">
        <v>33</v>
      </c>
      <c r="H6" s="38" t="s">
        <v>32</v>
      </c>
      <c r="I6" s="40"/>
      <c r="J6" s="38" t="s">
        <v>34</v>
      </c>
      <c r="K6" s="40"/>
      <c r="L6" s="38" t="s">
        <v>35</v>
      </c>
      <c r="M6" s="40"/>
      <c r="N6" s="46" t="s">
        <v>33</v>
      </c>
      <c r="O6" s="40"/>
      <c r="P6" s="40"/>
      <c r="Q6" s="34"/>
      <c r="R6" s="34"/>
      <c r="S6" s="34"/>
      <c r="T6" s="34"/>
      <c r="U6" s="34"/>
      <c r="V6" s="34"/>
      <c r="W6" s="34"/>
    </row>
    <row r="7" ht="17" spans="1:24">
      <c r="A7" s="47"/>
      <c r="B7" s="39"/>
      <c r="C7" s="40"/>
      <c r="D7" s="44" t="s">
        <v>36</v>
      </c>
      <c r="E7" s="44" t="s">
        <v>36</v>
      </c>
      <c r="F7" s="44" t="s">
        <v>36</v>
      </c>
      <c r="G7" s="45" t="s">
        <v>36</v>
      </c>
      <c r="H7" s="44" t="s">
        <v>37</v>
      </c>
      <c r="I7" s="44" t="s">
        <v>38</v>
      </c>
      <c r="J7" s="44" t="s">
        <v>37</v>
      </c>
      <c r="K7" s="44" t="s">
        <v>38</v>
      </c>
      <c r="L7" s="44" t="s">
        <v>37</v>
      </c>
      <c r="M7" s="44" t="s">
        <v>38</v>
      </c>
      <c r="N7" s="45" t="s">
        <v>37</v>
      </c>
      <c r="O7" s="45" t="s">
        <v>38</v>
      </c>
      <c r="P7" s="48" t="s">
        <v>39</v>
      </c>
      <c r="Q7" s="34"/>
      <c r="R7" s="34"/>
      <c r="S7" s="34"/>
      <c r="T7" s="34"/>
      <c r="U7" s="34"/>
      <c r="V7" s="34"/>
      <c r="W7" s="34"/>
    </row>
    <row r="8" ht="17" spans="1:24">
      <c r="A8" s="49" t="s">
        <v>55</v>
      </c>
      <c r="B8" s="42"/>
      <c r="C8" s="50" t="s">
        <v>41</v>
      </c>
      <c r="D8" s="51">
        <v>30</v>
      </c>
      <c r="E8" s="51">
        <v>36</v>
      </c>
      <c r="F8" s="51">
        <v>60</v>
      </c>
      <c r="G8" s="52">
        <v>126</v>
      </c>
      <c r="H8" s="51"/>
      <c r="I8" s="51"/>
      <c r="J8" s="51">
        <v>40</v>
      </c>
      <c r="K8" s="51">
        <v>40</v>
      </c>
      <c r="L8" s="51">
        <v>50</v>
      </c>
      <c r="M8" s="51">
        <v>50</v>
      </c>
      <c r="N8" s="52">
        <v>90</v>
      </c>
      <c r="O8" s="52">
        <v>90</v>
      </c>
      <c r="P8" s="53">
        <v>306</v>
      </c>
      <c r="Q8" s="34"/>
      <c r="R8" s="34"/>
      <c r="S8" s="34"/>
      <c r="T8" s="34"/>
      <c r="U8" s="34"/>
      <c r="V8" s="34"/>
      <c r="W8" s="34"/>
    </row>
    <row r="9" ht="17" spans="1:24">
      <c r="A9" s="41"/>
      <c r="B9" s="42"/>
      <c r="C9" s="50" t="s">
        <v>42</v>
      </c>
      <c r="D9" s="51">
        <v>30</v>
      </c>
      <c r="E9" s="51">
        <v>39</v>
      </c>
      <c r="F9" s="51">
        <v>60</v>
      </c>
      <c r="G9" s="52">
        <v>129</v>
      </c>
      <c r="H9" s="51">
        <v>0</v>
      </c>
      <c r="I9" s="51">
        <v>0</v>
      </c>
      <c r="J9" s="51">
        <v>40</v>
      </c>
      <c r="K9" s="51">
        <v>40</v>
      </c>
      <c r="L9" s="51">
        <v>50</v>
      </c>
      <c r="M9" s="51">
        <v>50</v>
      </c>
      <c r="N9" s="52">
        <v>90</v>
      </c>
      <c r="O9" s="52">
        <v>90</v>
      </c>
      <c r="P9" s="54">
        <v>309</v>
      </c>
      <c r="Q9" s="34"/>
      <c r="R9" s="34"/>
      <c r="S9" s="34"/>
      <c r="T9" s="34"/>
      <c r="U9" s="34"/>
      <c r="V9" s="34"/>
      <c r="W9" s="34"/>
    </row>
    <row r="10" ht="17" spans="1:24">
      <c r="A10" s="47"/>
      <c r="B10" s="40"/>
      <c r="C10" s="55" t="s">
        <v>43</v>
      </c>
      <c r="D10" s="56">
        <v>0</v>
      </c>
      <c r="E10" s="56">
        <v>-3</v>
      </c>
      <c r="F10" s="56">
        <v>0</v>
      </c>
      <c r="G10" s="56">
        <v>-3</v>
      </c>
      <c r="H10" s="56">
        <v>0</v>
      </c>
      <c r="I10" s="56">
        <v>0</v>
      </c>
      <c r="J10" s="56">
        <v>0</v>
      </c>
      <c r="K10" s="56">
        <v>0</v>
      </c>
      <c r="L10" s="56">
        <v>0</v>
      </c>
      <c r="M10" s="56">
        <v>0</v>
      </c>
      <c r="N10" s="56">
        <v>0</v>
      </c>
      <c r="O10" s="56">
        <v>0</v>
      </c>
      <c r="P10" s="56">
        <v>-3</v>
      </c>
      <c r="Q10" s="34"/>
      <c r="R10" s="34"/>
      <c r="S10" s="34"/>
      <c r="T10" s="34"/>
      <c r="U10" s="34"/>
      <c r="V10" s="34"/>
      <c r="W10" s="34"/>
    </row>
    <row r="11" ht="17" spans="1:24">
      <c r="A11" s="49" t="s">
        <v>56</v>
      </c>
      <c r="B11" s="42"/>
      <c r="C11" s="50" t="s">
        <v>41</v>
      </c>
      <c r="D11" s="51"/>
      <c r="E11" s="51"/>
      <c r="F11" s="51"/>
      <c r="G11" s="52">
        <v>0</v>
      </c>
      <c r="H11" s="51">
        <v>40</v>
      </c>
      <c r="I11" s="51">
        <v>20</v>
      </c>
      <c r="J11" s="51">
        <v>20</v>
      </c>
      <c r="K11" s="51">
        <v>40</v>
      </c>
      <c r="L11" s="51">
        <v>35</v>
      </c>
      <c r="M11" s="51">
        <v>20</v>
      </c>
      <c r="N11" s="52">
        <v>95</v>
      </c>
      <c r="O11" s="52">
        <v>80</v>
      </c>
      <c r="P11" s="53">
        <v>175</v>
      </c>
      <c r="Q11" s="34"/>
      <c r="R11" s="34"/>
      <c r="S11" s="34"/>
      <c r="T11" s="34"/>
      <c r="U11" s="34"/>
      <c r="V11" s="34"/>
      <c r="W11" s="34"/>
    </row>
    <row r="12" ht="17" spans="1:24">
      <c r="A12" s="41"/>
      <c r="B12" s="42"/>
      <c r="C12" s="50" t="s">
        <v>42</v>
      </c>
      <c r="D12" s="51">
        <v>0</v>
      </c>
      <c r="E12" s="51">
        <v>0</v>
      </c>
      <c r="F12" s="51">
        <v>0</v>
      </c>
      <c r="G12" s="52">
        <v>0</v>
      </c>
      <c r="H12" s="51">
        <v>3</v>
      </c>
      <c r="I12" s="51">
        <v>5</v>
      </c>
      <c r="J12" s="51">
        <v>19</v>
      </c>
      <c r="K12" s="51">
        <v>28</v>
      </c>
      <c r="L12" s="51">
        <v>35</v>
      </c>
      <c r="M12" s="51">
        <v>17</v>
      </c>
      <c r="N12" s="52">
        <v>57</v>
      </c>
      <c r="O12" s="52">
        <v>50</v>
      </c>
      <c r="P12" s="54">
        <v>107</v>
      </c>
      <c r="Q12" s="34"/>
      <c r="R12" s="34"/>
      <c r="S12" s="34"/>
      <c r="T12" s="34"/>
      <c r="U12" s="34"/>
      <c r="V12" s="34"/>
      <c r="W12" s="34"/>
    </row>
    <row r="13" ht="17" spans="1:24">
      <c r="A13" s="47"/>
      <c r="B13" s="40"/>
      <c r="C13" s="55" t="s">
        <v>43</v>
      </c>
      <c r="D13" s="56">
        <v>0</v>
      </c>
      <c r="E13" s="56">
        <v>0</v>
      </c>
      <c r="F13" s="56">
        <v>0</v>
      </c>
      <c r="G13" s="56">
        <v>0</v>
      </c>
      <c r="H13" s="56">
        <v>37</v>
      </c>
      <c r="I13" s="56">
        <v>15</v>
      </c>
      <c r="J13" s="56">
        <v>1</v>
      </c>
      <c r="K13" s="56">
        <v>12</v>
      </c>
      <c r="L13" s="56">
        <v>0</v>
      </c>
      <c r="M13" s="56">
        <v>3</v>
      </c>
      <c r="N13" s="56">
        <v>38</v>
      </c>
      <c r="O13" s="56">
        <v>30</v>
      </c>
      <c r="P13" s="56">
        <v>68</v>
      </c>
      <c r="Q13" s="34"/>
      <c r="R13" s="34"/>
      <c r="S13" s="34"/>
      <c r="T13" s="34"/>
      <c r="U13" s="34"/>
      <c r="V13" s="34"/>
      <c r="W13" s="34"/>
    </row>
    <row r="14" ht="17" spans="1:24">
      <c r="A14" s="33"/>
      <c r="B14" s="33"/>
      <c r="C14" s="33"/>
      <c r="D14" s="33"/>
      <c r="E14" s="33"/>
      <c r="F14" s="33"/>
      <c r="G14" s="33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34"/>
      <c r="W14" s="34"/>
    </row>
    <row r="15" ht="17" spans="1:24">
      <c r="A15" s="33"/>
      <c r="B15" s="33"/>
      <c r="C15" s="33"/>
      <c r="D15" s="33"/>
      <c r="E15" s="33"/>
      <c r="F15" s="33"/>
      <c r="G15" s="33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</row>
    <row r="16" ht="51" spans="1:24">
      <c r="A16" s="81" t="s">
        <v>14</v>
      </c>
      <c r="B16" s="82" t="s">
        <v>6</v>
      </c>
      <c r="C16" s="82" t="s">
        <v>15</v>
      </c>
      <c r="D16" s="82" t="s">
        <v>16</v>
      </c>
      <c r="E16" s="82" t="s">
        <v>10</v>
      </c>
      <c r="F16" s="83" t="s">
        <v>17</v>
      </c>
      <c r="G16" s="83" t="s">
        <v>18</v>
      </c>
      <c r="H16" s="84"/>
      <c r="I16" s="84"/>
      <c r="J16" s="84"/>
      <c r="K16" s="84"/>
      <c r="L16" s="84"/>
      <c r="M16" s="84"/>
      <c r="N16" s="84"/>
      <c r="O16" s="84"/>
      <c r="P16" s="84"/>
      <c r="Q16" s="84"/>
      <c r="R16" s="84"/>
      <c r="S16" s="84"/>
      <c r="T16" s="84"/>
      <c r="U16" s="84"/>
      <c r="V16" s="84"/>
      <c r="W16" s="84"/>
      <c r="X16" s="84"/>
    </row>
    <row r="17" ht="34" spans="1:24">
      <c r="A17" s="62" t="str">
        <f>IFERROR(__xludf.DUMMYFUNCTION("QUERY(dados_02!$A$2:$H$675, ""SELECT Col1, Col2, Col3, Col4, Col5, Col6, Col7  where Col8 = 'REGIONAL 4' "")"),"02/03/2026 13:05:13")</f>
        <v>02/03/2026 13:05:13</v>
      </c>
      <c r="B17" s="63" t="str">
        <f>IFERROR(__xludf.DUMMYFUNCTION("""COMPUTED_VALUE"""),"1")</f>
        <v>1</v>
      </c>
      <c r="C17" s="34" t="str">
        <f>IFERROR(__xludf.DUMMYFUNCTION("""COMPUTED_VALUE"""),"A. V. D. S. L")</f>
        <v>A. V. D. S. L</v>
      </c>
      <c r="D17" s="64" t="str">
        <f>IFERROR(__xludf.DUMMYFUNCTION("""COMPUTED_VALUE"""),"15/11/2025")</f>
        <v>15/11/2025</v>
      </c>
      <c r="E17" s="34" t="str">
        <f>IFERROR(__xludf.DUMMYFUNCTION("""COMPUTED_VALUE"""),"024******00")</f>
        <v>024******00</v>
      </c>
      <c r="F17" s="34" t="str">
        <f>IFERROR(__xludf.DUMMYFUNCTION("""COMPUTED_VALUE"""),"INFANTIL 1")</f>
        <v>INFANTIL 1</v>
      </c>
      <c r="G17" s="34" t="str">
        <f>IFERROR(__xludf.DUMMYFUNCTION("""COMPUTED_VALUE"""),"CENTRO MUNICIPAL DE EDUCAÇÃO INFANTIL MARCOS FREIRE")</f>
        <v>CENTRO MUNICIPAL DE EDUCAÇÃO INFANTIL MARCOS FREIRE</v>
      </c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</row>
    <row r="18" ht="34" spans="1:24">
      <c r="A18" s="62" t="str">
        <f>IFERROR(__xludf.DUMMYFUNCTION("""COMPUTED_VALUE"""),"03/03/2026 09:31:27")</f>
        <v>03/03/2026 09:31:27</v>
      </c>
      <c r="B18" s="63" t="str">
        <f>IFERROR(__xludf.DUMMYFUNCTION("""COMPUTED_VALUE"""),"2")</f>
        <v>2</v>
      </c>
      <c r="C18" s="34" t="str">
        <f>IFERROR(__xludf.DUMMYFUNCTION("""COMPUTED_VALUE"""),"J. K. G. D. N")</f>
        <v>J. K. G. D. N</v>
      </c>
      <c r="D18" s="85" t="str">
        <f>IFERROR(__xludf.DUMMYFUNCTION("""COMPUTED_VALUE"""),"25/07/2024")</f>
        <v>25/07/2024</v>
      </c>
      <c r="E18" s="34" t="str">
        <f>IFERROR(__xludf.DUMMYFUNCTION("""COMPUTED_VALUE"""),"003******88")</f>
        <v>003******88</v>
      </c>
      <c r="F18" s="34" t="str">
        <f>IFERROR(__xludf.DUMMYFUNCTION("""COMPUTED_VALUE"""),"INFANTIL 1")</f>
        <v>INFANTIL 1</v>
      </c>
      <c r="G18" s="34" t="str">
        <f>IFERROR(__xludf.DUMMYFUNCTION("""COMPUTED_VALUE"""),"CENTRO MUNICIPAL DE EDUCAÇÃO INFANTIL MARCOS FREIRE")</f>
        <v>CENTRO MUNICIPAL DE EDUCAÇÃO INFANTIL MARCOS FREIRE</v>
      </c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</row>
    <row r="19" ht="34" spans="1:24">
      <c r="A19" s="62" t="str">
        <f>IFERROR(__xludf.DUMMYFUNCTION("""COMPUTED_VALUE"""),"11/03/2026 16:45:43")</f>
        <v>11/03/2026 16:45:43</v>
      </c>
      <c r="B19" s="63" t="str">
        <f>IFERROR(__xludf.DUMMYFUNCTION("""COMPUTED_VALUE"""),"3")</f>
        <v>3</v>
      </c>
      <c r="C19" s="34" t="str">
        <f>IFERROR(__xludf.DUMMYFUNCTION("""COMPUTED_VALUE"""),"J. C. D. S")</f>
        <v>J. C. D. S</v>
      </c>
      <c r="D19" s="64" t="str">
        <f>IFERROR(__xludf.DUMMYFUNCTION("""COMPUTED_VALUE"""),"13/08/2025")</f>
        <v>13/08/2025</v>
      </c>
      <c r="E19" s="34" t="str">
        <f>IFERROR(__xludf.DUMMYFUNCTION("""COMPUTED_VALUE"""),"007******82")</f>
        <v>007******82</v>
      </c>
      <c r="F19" s="34" t="str">
        <f>IFERROR(__xludf.DUMMYFUNCTION("""COMPUTED_VALUE"""),"INFANTIL 1")</f>
        <v>INFANTIL 1</v>
      </c>
      <c r="G19" s="34" t="str">
        <f>IFERROR(__xludf.DUMMYFUNCTION("""COMPUTED_VALUE"""),"CENTRO MUNICIPAL DE EDUCAÇÃO INFANTIL MARCOS FREIRE")</f>
        <v>CENTRO MUNICIPAL DE EDUCAÇÃO INFANTIL MARCOS FREIRE</v>
      </c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34"/>
      <c r="W19" s="34"/>
      <c r="X19" s="34"/>
    </row>
    <row r="20" ht="36" customHeight="1" spans="1:24">
      <c r="A20" s="62" t="str">
        <f>IFERROR(__xludf.DUMMYFUNCTION("""COMPUTED_VALUE"""),"12/03/2026 06:29:35")</f>
        <v>12/03/2026 06:29:35</v>
      </c>
      <c r="B20" s="63" t="str">
        <f>IFERROR(__xludf.DUMMYFUNCTION("""COMPUTED_VALUE"""),"4")</f>
        <v>4</v>
      </c>
      <c r="C20" s="34" t="str">
        <f>IFERROR(__xludf.DUMMYFUNCTION("""COMPUTED_VALUE"""),"M. I. A. D. S")</f>
        <v>M. I. A. D. S</v>
      </c>
      <c r="D20" s="64" t="str">
        <f>IFERROR(__xludf.DUMMYFUNCTION("""COMPUTED_VALUE"""),"13/02/2025")</f>
        <v>13/02/2025</v>
      </c>
      <c r="E20" s="34" t="str">
        <f>IFERROR(__xludf.DUMMYFUNCTION("""COMPUTED_VALUE"""),"005******24")</f>
        <v>005******24</v>
      </c>
      <c r="F20" s="34" t="str">
        <f>IFERROR(__xludf.DUMMYFUNCTION("""COMPUTED_VALUE"""),"INFANTIL 1")</f>
        <v>INFANTIL 1</v>
      </c>
      <c r="G20" s="34" t="str">
        <f>IFERROR(__xludf.DUMMYFUNCTION("""COMPUTED_VALUE"""),"CENTRO MUNICIPAL DE EDUCAÇÃO INFANTIL MARCOS FREIRE")</f>
        <v>CENTRO MUNICIPAL DE EDUCAÇÃO INFANTIL MARCOS FREIRE</v>
      </c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</row>
    <row r="21" ht="36" customHeight="1" spans="1:24">
      <c r="A21" s="62" t="str">
        <f>IFERROR(__xludf.DUMMYFUNCTION("""COMPUTED_VALUE"""),"18/03/2026 11:00:34")</f>
        <v>18/03/2026 11:00:34</v>
      </c>
      <c r="B21" s="63" t="str">
        <f>IFERROR(__xludf.DUMMYFUNCTION("""COMPUTED_VALUE"""),"5")</f>
        <v>5</v>
      </c>
      <c r="C21" s="34" t="str">
        <f>IFERROR(__xludf.DUMMYFUNCTION("""COMPUTED_VALUE"""),"B. C. D. S. C")</f>
        <v>B. C. D. S. C</v>
      </c>
      <c r="D21" s="64" t="str">
        <f>IFERROR(__xludf.DUMMYFUNCTION("""COMPUTED_VALUE"""),"28/05/2025")</f>
        <v>28/05/2025</v>
      </c>
      <c r="E21" s="34" t="str">
        <f>IFERROR(__xludf.DUMMYFUNCTION("""COMPUTED_VALUE"""),"006******07")</f>
        <v>006******07</v>
      </c>
      <c r="F21" s="34" t="str">
        <f>IFERROR(__xludf.DUMMYFUNCTION("""COMPUTED_VALUE"""),"INFANTIL 1")</f>
        <v>INFANTIL 1</v>
      </c>
      <c r="G21" s="34" t="str">
        <f>IFERROR(__xludf.DUMMYFUNCTION("""COMPUTED_VALUE"""),"CENTRO MUNICIPAL DE EDUCAÇÃO INFANTIL MARCOS FREIRE")</f>
        <v>CENTRO MUNICIPAL DE EDUCAÇÃO INFANTIL MARCOS FREIRE</v>
      </c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</row>
    <row r="22" ht="36" customHeight="1" spans="1:24">
      <c r="A22" s="34" t="str">
        <f>IFERROR(__xludf.DUMMYFUNCTION("""COMPUTED_VALUE"""),"23/03/2026 12:20:04")</f>
        <v>23/03/2026 12:20:04</v>
      </c>
      <c r="B22" s="63" t="str">
        <f>IFERROR(__xludf.DUMMYFUNCTION("""COMPUTED_VALUE"""),"6")</f>
        <v>6</v>
      </c>
      <c r="C22" s="34" t="str">
        <f>IFERROR(__xludf.DUMMYFUNCTION("""COMPUTED_VALUE"""),"D. D. S")</f>
        <v>D. D. S</v>
      </c>
      <c r="D22" s="34" t="str">
        <f>IFERROR(__xludf.DUMMYFUNCTION("""COMPUTED_VALUE"""),"09/04/2024")</f>
        <v>09/04/2024</v>
      </c>
      <c r="E22" s="34" t="str">
        <f>IFERROR(__xludf.DUMMYFUNCTION("""COMPUTED_VALUE"""),"002******29")</f>
        <v>002******29</v>
      </c>
      <c r="F22" s="34" t="str">
        <f>IFERROR(__xludf.DUMMYFUNCTION("""COMPUTED_VALUE"""),"INFANTIL 1")</f>
        <v>INFANTIL 1</v>
      </c>
      <c r="G22" s="34" t="str">
        <f>IFERROR(__xludf.DUMMYFUNCTION("""COMPUTED_VALUE"""),"CENTRO MUNICIPAL DE EDUCAÇÃO INFANTIL MARCOS FREIRE")</f>
        <v>CENTRO MUNICIPAL DE EDUCAÇÃO INFANTIL MARCOS FREIRE</v>
      </c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</row>
    <row r="23" ht="36" customHeight="1" spans="1:24">
      <c r="A23" s="34" t="str">
        <f>IFERROR(__xludf.DUMMYFUNCTION("""COMPUTED_VALUE"""),"27/03/2026 14:19:05")</f>
        <v>27/03/2026 14:19:05</v>
      </c>
      <c r="B23" s="63" t="str">
        <f>IFERROR(__xludf.DUMMYFUNCTION("""COMPUTED_VALUE"""),"7")</f>
        <v>7</v>
      </c>
      <c r="C23" s="34" t="str">
        <f>IFERROR(__xludf.DUMMYFUNCTION("""COMPUTED_VALUE"""),"R. L. C. A. D. S")</f>
        <v>R. L. C. A. D. S</v>
      </c>
      <c r="D23" s="34" t="str">
        <f>IFERROR(__xludf.DUMMYFUNCTION("""COMPUTED_VALUE"""),"05/12/2024")</f>
        <v>05/12/2024</v>
      </c>
      <c r="E23" s="34" t="str">
        <f>IFERROR(__xludf.DUMMYFUNCTION("""COMPUTED_VALUE"""),"004******03")</f>
        <v>004******03</v>
      </c>
      <c r="F23" s="34" t="str">
        <f>IFERROR(__xludf.DUMMYFUNCTION("""COMPUTED_VALUE"""),"INFANTIL 1")</f>
        <v>INFANTIL 1</v>
      </c>
      <c r="G23" s="34" t="str">
        <f>IFERROR(__xludf.DUMMYFUNCTION("""COMPUTED_VALUE"""),"CENTRO MUNICIPAL DE EDUCAÇÃO INFANTIL MARCOS FREIRE")</f>
        <v>CENTRO MUNICIPAL DE EDUCAÇÃO INFANTIL MARCOS FREIRE</v>
      </c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</row>
    <row r="24" ht="36" customHeight="1" spans="1:24">
      <c r="A24" s="34" t="str">
        <f>IFERROR(__xludf.DUMMYFUNCTION("""COMPUTED_VALUE"""),"08/04/2026 10:45:14")</f>
        <v>08/04/2026 10:45:14</v>
      </c>
      <c r="B24" s="63" t="str">
        <f>IFERROR(__xludf.DUMMYFUNCTION("""COMPUTED_VALUE"""),"8")</f>
        <v>8</v>
      </c>
      <c r="C24" s="34" t="str">
        <f>IFERROR(__xludf.DUMMYFUNCTION("""COMPUTED_VALUE"""),"T. S. D. L")</f>
        <v>T. S. D. L</v>
      </c>
      <c r="D24" s="34" t="str">
        <f>IFERROR(__xludf.DUMMYFUNCTION("""COMPUTED_VALUE"""),"28/10/2024")</f>
        <v>28/10/2024</v>
      </c>
      <c r="E24" s="34" t="str">
        <f>IFERROR(__xludf.DUMMYFUNCTION("""COMPUTED_VALUE"""),"004******67")</f>
        <v>004******67</v>
      </c>
      <c r="F24" s="34" t="str">
        <f>IFERROR(__xludf.DUMMYFUNCTION("""COMPUTED_VALUE"""),"INFANTIL 1")</f>
        <v>INFANTIL 1</v>
      </c>
      <c r="G24" s="34" t="str">
        <f>IFERROR(__xludf.DUMMYFUNCTION("""COMPUTED_VALUE"""),"CENTRO MUNICIPAL DE EDUCAÇÃO INFANTIL MARCOS FREIRE")</f>
        <v>CENTRO MUNICIPAL DE EDUCAÇÃO INFANTIL MARCOS FREIRE</v>
      </c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</row>
    <row r="25" ht="36" customHeight="1" spans="1:24">
      <c r="A25" s="34" t="str">
        <f>IFERROR(__xludf.DUMMYFUNCTION("""COMPUTED_VALUE"""),"14/04/2026 09:51:21")</f>
        <v>14/04/2026 09:51:21</v>
      </c>
      <c r="B25" s="63" t="str">
        <f>IFERROR(__xludf.DUMMYFUNCTION("""COMPUTED_VALUE"""),"9")</f>
        <v>9</v>
      </c>
      <c r="C25" s="34" t="str">
        <f>IFERROR(__xludf.DUMMYFUNCTION("""COMPUTED_VALUE"""),"M. G. P. D. L")</f>
        <v>M. G. P. D. L</v>
      </c>
      <c r="D25" s="34" t="str">
        <f>IFERROR(__xludf.DUMMYFUNCTION("""COMPUTED_VALUE"""),"25/08/2025")</f>
        <v>25/08/2025</v>
      </c>
      <c r="E25" s="34" t="str">
        <f>IFERROR(__xludf.DUMMYFUNCTION("""COMPUTED_VALUE"""),"014******83")</f>
        <v>014******83</v>
      </c>
      <c r="F25" s="34" t="str">
        <f>IFERROR(__xludf.DUMMYFUNCTION("""COMPUTED_VALUE"""),"INFANTIL 1")</f>
        <v>INFANTIL 1</v>
      </c>
      <c r="G25" s="34" t="str">
        <f>IFERROR(__xludf.DUMMYFUNCTION("""COMPUTED_VALUE"""),"CENTRO MUNICIPAL DE EDUCAÇÃO INFANTIL MARCOS FREIRE")</f>
        <v>CENTRO MUNICIPAL DE EDUCAÇÃO INFANTIL MARCOS FREIRE</v>
      </c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</row>
    <row r="26" ht="36" customHeight="1" spans="1:24">
      <c r="A26" s="34" t="str">
        <f>IFERROR(__xludf.DUMMYFUNCTION("""COMPUTED_VALUE"""),"15/04/2026 16:58:08")</f>
        <v>15/04/2026 16:58:08</v>
      </c>
      <c r="B26" s="63" t="str">
        <f>IFERROR(__xludf.DUMMYFUNCTION("""COMPUTED_VALUE"""),"10")</f>
        <v>10</v>
      </c>
      <c r="C26" s="34" t="str">
        <f>IFERROR(__xludf.DUMMYFUNCTION("""COMPUTED_VALUE"""),"E. M. D. S")</f>
        <v>E. M. D. S</v>
      </c>
      <c r="D26" s="34" t="str">
        <f>IFERROR(__xludf.DUMMYFUNCTION("""COMPUTED_VALUE"""),"12/02/2025")</f>
        <v>12/02/2025</v>
      </c>
      <c r="E26" s="34" t="str">
        <f>IFERROR(__xludf.DUMMYFUNCTION("""COMPUTED_VALUE"""),"050******00")</f>
        <v>050******00</v>
      </c>
      <c r="F26" s="34" t="str">
        <f>IFERROR(__xludf.DUMMYFUNCTION("""COMPUTED_VALUE"""),"INFANTIL 1")</f>
        <v>INFANTIL 1</v>
      </c>
      <c r="G26" s="34" t="str">
        <f>IFERROR(__xludf.DUMMYFUNCTION("""COMPUTED_VALUE"""),"CENTRO MUNICIPAL DE EDUCAÇÃO INFANTIL MARCOS FREIRE")</f>
        <v>CENTRO MUNICIPAL DE EDUCAÇÃO INFANTIL MARCOS FREIRE</v>
      </c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</row>
    <row r="27" ht="36" customHeight="1" spans="1:24">
      <c r="A27" s="34" t="str">
        <f>IFERROR(__xludf.DUMMYFUNCTION("""COMPUTED_VALUE"""),"11/05/2026 14:39:32")</f>
        <v>11/05/2026 14:39:32</v>
      </c>
      <c r="B27" s="63" t="str">
        <f>IFERROR(__xludf.DUMMYFUNCTION("""COMPUTED_VALUE"""),"11")</f>
        <v>11</v>
      </c>
      <c r="C27" s="34" t="str">
        <f>IFERROR(__xludf.DUMMYFUNCTION("""COMPUTED_VALUE"""),"J. H. P. D. A")</f>
        <v>J. H. P. D. A</v>
      </c>
      <c r="D27" s="34" t="str">
        <f>IFERROR(__xludf.DUMMYFUNCTION("""COMPUTED_VALUE"""),"11/07/2024")</f>
        <v>11/07/2024</v>
      </c>
      <c r="E27" s="34" t="str">
        <f>IFERROR(__xludf.DUMMYFUNCTION("""COMPUTED_VALUE"""),"003******28")</f>
        <v>003******28</v>
      </c>
      <c r="F27" s="34" t="str">
        <f>IFERROR(__xludf.DUMMYFUNCTION("""COMPUTED_VALUE"""),"INFANTIL 1")</f>
        <v>INFANTIL 1</v>
      </c>
      <c r="G27" s="34" t="str">
        <f>IFERROR(__xludf.DUMMYFUNCTION("""COMPUTED_VALUE"""),"CENTRO MUNICIPAL DE EDUCAÇÃO INFANTIL MARCOS FREIRE")</f>
        <v>CENTRO MUNICIPAL DE EDUCAÇÃO INFANTIL MARCOS FREIRE</v>
      </c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</row>
    <row r="28" ht="36" customHeight="1" spans="1:24">
      <c r="A28" s="34" t="str">
        <f>IFERROR(__xludf.DUMMYFUNCTION("""COMPUTED_VALUE"""),"26/05/2026 13:30:04")</f>
        <v>26/05/2026 13:30:04</v>
      </c>
      <c r="B28" s="63" t="str">
        <f>IFERROR(__xludf.DUMMYFUNCTION("""COMPUTED_VALUE"""),"12")</f>
        <v>12</v>
      </c>
      <c r="C28" s="34" t="str">
        <f>IFERROR(__xludf.DUMMYFUNCTION("""COMPUTED_VALUE"""),"M. V. D. S. F")</f>
        <v>M. V. D. S. F</v>
      </c>
      <c r="D28" s="34" t="str">
        <f>IFERROR(__xludf.DUMMYFUNCTION("""COMPUTED_VALUE"""),"14/05/2025")</f>
        <v>14/05/2025</v>
      </c>
      <c r="E28" s="34" t="str">
        <f>IFERROR(__xludf.DUMMYFUNCTION("""COMPUTED_VALUE"""),"006******85")</f>
        <v>006******85</v>
      </c>
      <c r="F28" s="34" t="str">
        <f>IFERROR(__xludf.DUMMYFUNCTION("""COMPUTED_VALUE"""),"INFANTIL 1")</f>
        <v>INFANTIL 1</v>
      </c>
      <c r="G28" s="34" t="str">
        <f>IFERROR(__xludf.DUMMYFUNCTION("""COMPUTED_VALUE"""),"CENTRO MUNICIPAL DE EDUCAÇÃO INFANTIL MARCOS FREIRE")</f>
        <v>CENTRO MUNICIPAL DE EDUCAÇÃO INFANTIL MARCOS FREIRE</v>
      </c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</row>
    <row r="29" ht="36" customHeight="1" spans="1:24">
      <c r="A29" s="34" t="str">
        <f>IFERROR(__xludf.DUMMYFUNCTION("""COMPUTED_VALUE"""),"03/03/2026 12:34:10")</f>
        <v>03/03/2026 12:34:10</v>
      </c>
      <c r="B29" s="63" t="str">
        <f>IFERROR(__xludf.DUMMYFUNCTION("""COMPUTED_VALUE"""),"1")</f>
        <v>1</v>
      </c>
      <c r="C29" s="34" t="str">
        <f>IFERROR(__xludf.DUMMYFUNCTION("""COMPUTED_VALUE"""),"G. A. S. D. L")</f>
        <v>G. A. S. D. L</v>
      </c>
      <c r="D29" s="34" t="str">
        <f>IFERROR(__xludf.DUMMYFUNCTION("""COMPUTED_VALUE"""),"16/01/2024")</f>
        <v>16/01/2024</v>
      </c>
      <c r="E29" s="34" t="str">
        <f>IFERROR(__xludf.DUMMYFUNCTION("""COMPUTED_VALUE"""),"001******51")</f>
        <v>001******51</v>
      </c>
      <c r="F29" s="34" t="str">
        <f>IFERROR(__xludf.DUMMYFUNCTION("""COMPUTED_VALUE"""),"INFANTIL 2")</f>
        <v>INFANTIL 2</v>
      </c>
      <c r="G29" s="34" t="str">
        <f>IFERROR(__xludf.DUMMYFUNCTION("""COMPUTED_VALUE"""),"CENTRO MUNICIPAL DE EDUCAÇÃO INFANTIL MARCOS FREIRE")</f>
        <v>CENTRO MUNICIPAL DE EDUCAÇÃO INFANTIL MARCOS FREIRE</v>
      </c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</row>
    <row r="30" ht="36" customHeight="1" spans="1:24">
      <c r="A30" s="34" t="str">
        <f>IFERROR(__xludf.DUMMYFUNCTION("""COMPUTED_VALUE"""),"04/03/2026 14:46:15")</f>
        <v>04/03/2026 14:46:15</v>
      </c>
      <c r="B30" s="63" t="str">
        <f>IFERROR(__xludf.DUMMYFUNCTION("""COMPUTED_VALUE"""),"2")</f>
        <v>2</v>
      </c>
      <c r="C30" s="34" t="str">
        <f>IFERROR(__xludf.DUMMYFUNCTION("""COMPUTED_VALUE"""),"J. M. D. L. C")</f>
        <v>J. M. D. L. C</v>
      </c>
      <c r="D30" s="34" t="str">
        <f>IFERROR(__xludf.DUMMYFUNCTION("""COMPUTED_VALUE"""),"22/07/2023")</f>
        <v>22/07/2023</v>
      </c>
      <c r="E30" s="34" t="str">
        <f>IFERROR(__xludf.DUMMYFUNCTION("""COMPUTED_VALUE"""),"234******62")</f>
        <v>234******62</v>
      </c>
      <c r="F30" s="34" t="str">
        <f>IFERROR(__xludf.DUMMYFUNCTION("""COMPUTED_VALUE"""),"INFANTIL 2")</f>
        <v>INFANTIL 2</v>
      </c>
      <c r="G30" s="34" t="str">
        <f>IFERROR(__xludf.DUMMYFUNCTION("""COMPUTED_VALUE"""),"CENTRO MUNICIPAL DE EDUCAÇÃO INFANTIL MARCOS FREIRE")</f>
        <v>CENTRO MUNICIPAL DE EDUCAÇÃO INFANTIL MARCOS FREIRE</v>
      </c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</row>
    <row r="31" ht="36" customHeight="1" spans="1:24">
      <c r="A31" s="34" t="str">
        <f>IFERROR(__xludf.DUMMYFUNCTION("""COMPUTED_VALUE"""),"20/03/2026 08:02:42")</f>
        <v>20/03/2026 08:02:42</v>
      </c>
      <c r="B31" s="63" t="str">
        <f>IFERROR(__xludf.DUMMYFUNCTION("""COMPUTED_VALUE"""),"3")</f>
        <v>3</v>
      </c>
      <c r="C31" s="34" t="str">
        <f>IFERROR(__xludf.DUMMYFUNCTION("""COMPUTED_VALUE"""),"D. P. D. S. B")</f>
        <v>D. P. D. S. B</v>
      </c>
      <c r="D31" s="34" t="str">
        <f>IFERROR(__xludf.DUMMYFUNCTION("""COMPUTED_VALUE"""),"17/01/2024")</f>
        <v>17/01/2024</v>
      </c>
      <c r="E31" s="34" t="str">
        <f>IFERROR(__xludf.DUMMYFUNCTION("""COMPUTED_VALUE"""),"001******32")</f>
        <v>001******32</v>
      </c>
      <c r="F31" s="34" t="str">
        <f>IFERROR(__xludf.DUMMYFUNCTION("""COMPUTED_VALUE"""),"INFANTIL 2")</f>
        <v>INFANTIL 2</v>
      </c>
      <c r="G31" s="34" t="str">
        <f>IFERROR(__xludf.DUMMYFUNCTION("""COMPUTED_VALUE"""),"CENTRO MUNICIPAL DE EDUCAÇÃO INFANTIL MARCOS FREIRE")</f>
        <v>CENTRO MUNICIPAL DE EDUCAÇÃO INFANTIL MARCOS FREIRE</v>
      </c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</row>
    <row r="32" ht="36" customHeight="1" spans="1:24">
      <c r="A32" s="34" t="str">
        <f>IFERROR(__xludf.DUMMYFUNCTION("""COMPUTED_VALUE"""),"20/03/2026 23:02:44")</f>
        <v>20/03/2026 23:02:44</v>
      </c>
      <c r="B32" s="63" t="str">
        <f>IFERROR(__xludf.DUMMYFUNCTION("""COMPUTED_VALUE"""),"4")</f>
        <v>4</v>
      </c>
      <c r="C32" s="34" t="str">
        <f>IFERROR(__xludf.DUMMYFUNCTION("""COMPUTED_VALUE"""),"L. B. D. O. R")</f>
        <v>L. B. D. O. R</v>
      </c>
      <c r="D32" s="34" t="str">
        <f>IFERROR(__xludf.DUMMYFUNCTION("""COMPUTED_VALUE"""),"22/02/2024")</f>
        <v>22/02/2024</v>
      </c>
      <c r="E32" s="34" t="str">
        <f>IFERROR(__xludf.DUMMYFUNCTION("""COMPUTED_VALUE"""),"002******40")</f>
        <v>002******40</v>
      </c>
      <c r="F32" s="34" t="str">
        <f>IFERROR(__xludf.DUMMYFUNCTION("""COMPUTED_VALUE"""),"INFANTIL 2")</f>
        <v>INFANTIL 2</v>
      </c>
      <c r="G32" s="34" t="str">
        <f>IFERROR(__xludf.DUMMYFUNCTION("""COMPUTED_VALUE"""),"CENTRO MUNICIPAL DE EDUCAÇÃO INFANTIL MARCOS FREIRE")</f>
        <v>CENTRO MUNICIPAL DE EDUCAÇÃO INFANTIL MARCOS FREIRE</v>
      </c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</row>
    <row r="33" ht="36" customHeight="1" spans="1:24">
      <c r="A33" s="34" t="str">
        <f>IFERROR(__xludf.DUMMYFUNCTION("""COMPUTED_VALUE"""),"08/04/2026 13:49:21")</f>
        <v>08/04/2026 13:49:21</v>
      </c>
      <c r="B33" s="63" t="str">
        <f>IFERROR(__xludf.DUMMYFUNCTION("""COMPUTED_VALUE"""),"5")</f>
        <v>5</v>
      </c>
      <c r="C33" s="34" t="str">
        <f>IFERROR(__xludf.DUMMYFUNCTION("""COMPUTED_VALUE"""),"J. M. D. S. N")</f>
        <v>J. M. D. S. N</v>
      </c>
      <c r="D33" s="34" t="str">
        <f>IFERROR(__xludf.DUMMYFUNCTION("""COMPUTED_VALUE"""),"23/07/2023")</f>
        <v>23/07/2023</v>
      </c>
      <c r="E33" s="34" t="str">
        <f>IFERROR(__xludf.DUMMYFUNCTION("""COMPUTED_VALUE"""),"186******21")</f>
        <v>186******21</v>
      </c>
      <c r="F33" s="34" t="str">
        <f>IFERROR(__xludf.DUMMYFUNCTION("""COMPUTED_VALUE"""),"INFANTIL 2")</f>
        <v>INFANTIL 2</v>
      </c>
      <c r="G33" s="34" t="str">
        <f>IFERROR(__xludf.DUMMYFUNCTION("""COMPUTED_VALUE"""),"CENTRO MUNICIPAL DE EDUCAÇÃO INFANTIL MARCOS FREIRE")</f>
        <v>CENTRO MUNICIPAL DE EDUCAÇÃO INFANTIL MARCOS FREIRE</v>
      </c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</row>
    <row r="34" ht="36" customHeight="1" spans="1:24">
      <c r="A34" s="34" t="str">
        <f>IFERROR(__xludf.DUMMYFUNCTION("""COMPUTED_VALUE"""),"17/03/2026 12:24:13")</f>
        <v>17/03/2026 12:24:13</v>
      </c>
      <c r="B34" s="63" t="str">
        <f>IFERROR(__xludf.DUMMYFUNCTION("""COMPUTED_VALUE"""),"1")</f>
        <v>1</v>
      </c>
      <c r="C34" s="34" t="str">
        <f>IFERROR(__xludf.DUMMYFUNCTION("""COMPUTED_VALUE"""),"H. V. D. S. N")</f>
        <v>H. V. D. S. N</v>
      </c>
      <c r="D34" s="34" t="str">
        <f>IFERROR(__xludf.DUMMYFUNCTION("""COMPUTED_VALUE"""),"30/03/2023")</f>
        <v>30/03/2023</v>
      </c>
      <c r="E34" s="34" t="str">
        <f>IFERROR(__xludf.DUMMYFUNCTION("""COMPUTED_VALUE"""),"185******64")</f>
        <v>185******64</v>
      </c>
      <c r="F34" s="34" t="str">
        <f>IFERROR(__xludf.DUMMYFUNCTION("""COMPUTED_VALUE"""),"INFANTIL 3")</f>
        <v>INFANTIL 3</v>
      </c>
      <c r="G34" s="34" t="str">
        <f>IFERROR(__xludf.DUMMYFUNCTION("""COMPUTED_VALUE"""),"CENTRO MUNICIPAL DE EDUCAÇÃO INFANTIL MARCOS FREIRE")</f>
        <v>CENTRO MUNICIPAL DE EDUCAÇÃO INFANTIL MARCOS FREIRE</v>
      </c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</row>
    <row r="35" ht="14.25" customHeight="1" spans="1:24">
      <c r="A35" s="34" t="str">
        <f>IFERROR(__xludf.DUMMYFUNCTION("""COMPUTED_VALUE"""),"19/03/2026 09:22:32")</f>
        <v>19/03/2026 09:22:32</v>
      </c>
      <c r="B35" s="63" t="str">
        <f>IFERROR(__xludf.DUMMYFUNCTION("""COMPUTED_VALUE"""),"2")</f>
        <v>2</v>
      </c>
      <c r="C35" s="34" t="str">
        <f>IFERROR(__xludf.DUMMYFUNCTION("""COMPUTED_VALUE"""),"T. L. A")</f>
        <v>T. L. A</v>
      </c>
      <c r="D35" s="34" t="str">
        <f>IFERROR(__xludf.DUMMYFUNCTION("""COMPUTED_VALUE"""),"28/09/2022")</f>
        <v>28/09/2022</v>
      </c>
      <c r="E35" s="34" t="str">
        <f>IFERROR(__xludf.DUMMYFUNCTION("""COMPUTED_VALUE"""),"605******52")</f>
        <v>605******52</v>
      </c>
      <c r="F35" s="34" t="str">
        <f>IFERROR(__xludf.DUMMYFUNCTION("""COMPUTED_VALUE"""),"INFANTIL 3")</f>
        <v>INFANTIL 3</v>
      </c>
      <c r="G35" s="34" t="str">
        <f>IFERROR(__xludf.DUMMYFUNCTION("""COMPUTED_VALUE"""),"CENTRO MUNICIPAL DE EDUCAÇÃO INFANTIL MARCOS FREIRE")</f>
        <v>CENTRO MUNICIPAL DE EDUCAÇÃO INFANTIL MARCOS FREIRE</v>
      </c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</row>
    <row r="36" ht="14.25" customHeight="1" spans="1:24">
      <c r="A36" s="34" t="str">
        <f>IFERROR(__xludf.DUMMYFUNCTION("""COMPUTED_VALUE"""),"06/04/2026 11:03:43")</f>
        <v>06/04/2026 11:03:43</v>
      </c>
      <c r="B36" s="63" t="str">
        <f>IFERROR(__xludf.DUMMYFUNCTION("""COMPUTED_VALUE"""),"3")</f>
        <v>3</v>
      </c>
      <c r="C36" s="34" t="str">
        <f>IFERROR(__xludf.DUMMYFUNCTION("""COMPUTED_VALUE"""),"S. C. B. D. S")</f>
        <v>S. C. B. D. S</v>
      </c>
      <c r="D36" s="34" t="str">
        <f>IFERROR(__xludf.DUMMYFUNCTION("""COMPUTED_VALUE"""),"13/06/2022")</f>
        <v>13/06/2022</v>
      </c>
      <c r="E36" s="34" t="str">
        <f>IFERROR(__xludf.DUMMYFUNCTION("""COMPUTED_VALUE"""),"181******80")</f>
        <v>181******80</v>
      </c>
      <c r="F36" s="34" t="str">
        <f>IFERROR(__xludf.DUMMYFUNCTION("""COMPUTED_VALUE"""),"INFANTIL 3")</f>
        <v>INFANTIL 3</v>
      </c>
      <c r="G36" s="34" t="str">
        <f>IFERROR(__xludf.DUMMYFUNCTION("""COMPUTED_VALUE"""),"CENTRO MUNICIPAL DE EDUCAÇÃO INFANTIL MARCOS FREIRE")</f>
        <v>CENTRO MUNICIPAL DE EDUCAÇÃO INFANTIL MARCOS FREIRE</v>
      </c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</row>
    <row r="37" ht="14.25" customHeight="1" spans="1:24">
      <c r="A37" s="34"/>
      <c r="B37" s="63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</row>
    <row r="38" ht="14.25" customHeight="1" spans="1:24">
      <c r="A38" s="34"/>
      <c r="B38" s="63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</row>
    <row r="39" ht="14.25" customHeight="1" spans="1:24">
      <c r="A39" s="34"/>
      <c r="B39" s="63"/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</row>
    <row r="40" ht="14.25" customHeight="1" spans="1:24">
      <c r="A40" s="34"/>
      <c r="B40" s="63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</row>
    <row r="41" ht="14.25" customHeight="1" spans="1:24">
      <c r="A41" s="34"/>
      <c r="B41" s="63"/>
      <c r="C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</row>
    <row r="42" ht="14.25" customHeight="1" spans="1:24">
      <c r="A42" s="34"/>
      <c r="B42" s="63"/>
      <c r="C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</row>
    <row r="43" ht="14.25" customHeight="1" spans="1:24">
      <c r="A43" s="34"/>
      <c r="B43" s="63"/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</row>
    <row r="44" ht="14.25" customHeight="1" spans="1:24">
      <c r="A44" s="34"/>
      <c r="B44" s="63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</row>
    <row r="45" ht="14.25" customHeight="1" spans="1:24">
      <c r="A45" s="34"/>
      <c r="B45" s="63"/>
      <c r="C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</row>
    <row r="46" ht="14.25" customHeight="1" spans="1:24">
      <c r="A46" s="34"/>
      <c r="B46" s="63"/>
      <c r="C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</row>
  </sheetData>
  <mergeCells count="14">
    <mergeCell ref="A2:P2"/>
    <mergeCell ref="D4:P4"/>
    <mergeCell ref="D5:G5"/>
    <mergeCell ref="H5:I5"/>
    <mergeCell ref="J5:O5"/>
    <mergeCell ref="H6:I6"/>
    <mergeCell ref="J6:K6"/>
    <mergeCell ref="L6:M6"/>
    <mergeCell ref="N6:O6"/>
    <mergeCell ref="C4:C7"/>
    <mergeCell ref="P5:P6"/>
    <mergeCell ref="A4:B7"/>
    <mergeCell ref="A8:B10"/>
    <mergeCell ref="A11:B13"/>
  </mergeCells>
  <conditionalFormatting sqref="D8:M13">
    <cfRule type="containsBlanks" dxfId="18" priority="1">
      <formula>LEN(TRIM(D8))=0</formula>
    </cfRule>
  </conditionalFormatting>
  <printOptions horizontalCentered="1" gridLines="1"/>
  <pageMargins left="0.7" right="0.7" top="0.75" bottom="0.75" header="0" footer="0"/>
  <pageSetup paperSize="9" fitToHeight="0" pageOrder="overThenDown" orientation="landscape" cellComments="atEnd"/>
  <headerFooter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X122"/>
  <sheetViews>
    <sheetView workbookViewId="0">
      <selection activeCell="A1" sqref="A1"/>
    </sheetView>
  </sheetViews>
  <sheetFormatPr defaultColWidth="14.43" defaultRowHeight="15" customHeight="1"/>
  <cols>
    <col min="1" max="1" width="24.43" customWidth="1"/>
    <col min="2" max="2" width="9" customWidth="1"/>
    <col min="3" max="3" width="42.57" customWidth="1"/>
    <col min="4" max="4" width="16.43" customWidth="1"/>
    <col min="5" max="5" width="16" customWidth="1"/>
    <col min="6" max="6" width="13.14" customWidth="1"/>
    <col min="7" max="7" width="50.43" customWidth="1"/>
    <col min="8" max="8" width="6.43" customWidth="1"/>
    <col min="9" max="9" width="11.71" customWidth="1"/>
    <col min="10" max="10" width="6.57" customWidth="1"/>
    <col min="11" max="11" width="10.57" customWidth="1"/>
    <col min="12" max="12" width="7.14" customWidth="1"/>
    <col min="13" max="13" width="9.57" customWidth="1"/>
    <col min="14" max="14" width="4.57" customWidth="1"/>
    <col min="15" max="15" width="9.86" customWidth="1"/>
    <col min="17" max="23" width="14.43" hidden="1" customWidth="1"/>
  </cols>
  <sheetData>
    <row r="1" ht="17" spans="1:23">
      <c r="A1" s="33"/>
      <c r="B1" s="33"/>
      <c r="C1" s="33"/>
      <c r="D1" s="33"/>
      <c r="E1" s="33"/>
      <c r="F1" s="33"/>
      <c r="G1" s="33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</row>
    <row r="2" ht="17" spans="1:23">
      <c r="A2" s="35" t="s">
        <v>57</v>
      </c>
      <c r="Q2" s="34"/>
      <c r="R2" s="34"/>
      <c r="S2" s="34"/>
      <c r="T2" s="34"/>
      <c r="U2" s="34"/>
      <c r="V2" s="34"/>
      <c r="W2" s="34"/>
    </row>
    <row r="3" ht="17" spans="1:23">
      <c r="A3" s="33"/>
      <c r="B3" s="33"/>
      <c r="C3" s="33"/>
      <c r="D3" s="33"/>
      <c r="E3" s="33"/>
      <c r="F3" s="33"/>
      <c r="G3" s="33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</row>
    <row r="4" ht="17" spans="1:23">
      <c r="A4" s="36" t="s">
        <v>23</v>
      </c>
      <c r="C4" s="37" t="s">
        <v>24</v>
      </c>
      <c r="D4" s="38" t="s">
        <v>25</v>
      </c>
      <c r="E4" s="39"/>
      <c r="F4" s="39"/>
      <c r="G4" s="39"/>
      <c r="H4" s="39"/>
      <c r="I4" s="39"/>
      <c r="J4" s="39"/>
      <c r="K4" s="39"/>
      <c r="L4" s="39"/>
      <c r="M4" s="39"/>
      <c r="N4" s="39"/>
      <c r="O4" s="39"/>
      <c r="P4" s="40"/>
      <c r="Q4" s="34"/>
      <c r="R4" s="34"/>
      <c r="S4" s="34"/>
      <c r="T4" s="34"/>
      <c r="U4" s="34"/>
      <c r="V4" s="34"/>
      <c r="W4" s="34"/>
    </row>
    <row r="5" ht="17" spans="1:23">
      <c r="A5" s="41"/>
      <c r="C5" s="42"/>
      <c r="D5" s="38" t="s">
        <v>26</v>
      </c>
      <c r="E5" s="39"/>
      <c r="F5" s="39"/>
      <c r="G5" s="40"/>
      <c r="H5" s="38" t="s">
        <v>27</v>
      </c>
      <c r="I5" s="40"/>
      <c r="J5" s="38" t="s">
        <v>28</v>
      </c>
      <c r="K5" s="39"/>
      <c r="L5" s="39"/>
      <c r="M5" s="39"/>
      <c r="N5" s="39"/>
      <c r="O5" s="40"/>
      <c r="P5" s="43" t="s">
        <v>29</v>
      </c>
      <c r="Q5" s="34"/>
      <c r="R5" s="34"/>
      <c r="S5" s="34"/>
      <c r="T5" s="34"/>
      <c r="U5" s="34"/>
      <c r="V5" s="34"/>
      <c r="W5" s="34"/>
    </row>
    <row r="6" ht="17" spans="1:23">
      <c r="A6" s="41"/>
      <c r="C6" s="42"/>
      <c r="D6" s="44" t="s">
        <v>30</v>
      </c>
      <c r="E6" s="44" t="s">
        <v>31</v>
      </c>
      <c r="F6" s="44" t="s">
        <v>32</v>
      </c>
      <c r="G6" s="45" t="s">
        <v>33</v>
      </c>
      <c r="H6" s="38" t="s">
        <v>32</v>
      </c>
      <c r="I6" s="40"/>
      <c r="J6" s="38" t="s">
        <v>34</v>
      </c>
      <c r="K6" s="40"/>
      <c r="L6" s="38" t="s">
        <v>35</v>
      </c>
      <c r="M6" s="40"/>
      <c r="N6" s="46" t="s">
        <v>33</v>
      </c>
      <c r="O6" s="40"/>
      <c r="P6" s="40"/>
      <c r="Q6" s="34"/>
      <c r="R6" s="34"/>
      <c r="S6" s="34"/>
      <c r="T6" s="34"/>
      <c r="U6" s="34"/>
      <c r="V6" s="34"/>
      <c r="W6" s="34"/>
    </row>
    <row r="7" ht="17" spans="1:23">
      <c r="A7" s="47"/>
      <c r="B7" s="39"/>
      <c r="C7" s="40"/>
      <c r="D7" s="44" t="s">
        <v>36</v>
      </c>
      <c r="E7" s="44" t="s">
        <v>36</v>
      </c>
      <c r="F7" s="44" t="s">
        <v>36</v>
      </c>
      <c r="G7" s="45" t="s">
        <v>36</v>
      </c>
      <c r="H7" s="44" t="s">
        <v>37</v>
      </c>
      <c r="I7" s="44" t="s">
        <v>38</v>
      </c>
      <c r="J7" s="44" t="s">
        <v>37</v>
      </c>
      <c r="K7" s="44" t="s">
        <v>38</v>
      </c>
      <c r="L7" s="44" t="s">
        <v>37</v>
      </c>
      <c r="M7" s="44" t="s">
        <v>38</v>
      </c>
      <c r="N7" s="45" t="s">
        <v>37</v>
      </c>
      <c r="O7" s="45" t="s">
        <v>38</v>
      </c>
      <c r="P7" s="48" t="s">
        <v>39</v>
      </c>
      <c r="Q7" s="34"/>
      <c r="R7" s="34"/>
      <c r="S7" s="34"/>
      <c r="T7" s="34"/>
      <c r="U7" s="34"/>
      <c r="V7" s="34"/>
      <c r="W7" s="34"/>
    </row>
    <row r="8" ht="17" spans="1:23">
      <c r="A8" s="49" t="s">
        <v>58</v>
      </c>
      <c r="B8" s="42"/>
      <c r="C8" s="50" t="s">
        <v>41</v>
      </c>
      <c r="D8" s="51">
        <v>30</v>
      </c>
      <c r="E8" s="51">
        <v>30</v>
      </c>
      <c r="F8" s="51">
        <v>40</v>
      </c>
      <c r="G8" s="52">
        <v>100</v>
      </c>
      <c r="H8" s="51"/>
      <c r="I8" s="51"/>
      <c r="J8" s="51">
        <v>60</v>
      </c>
      <c r="K8" s="51">
        <v>60</v>
      </c>
      <c r="L8" s="51">
        <v>80</v>
      </c>
      <c r="M8" s="51">
        <v>80</v>
      </c>
      <c r="N8" s="52">
        <v>140</v>
      </c>
      <c r="O8" s="52">
        <v>140</v>
      </c>
      <c r="P8" s="53">
        <v>380</v>
      </c>
      <c r="Q8" s="34"/>
      <c r="R8" s="34"/>
      <c r="S8" s="34"/>
      <c r="T8" s="34"/>
      <c r="U8" s="34"/>
      <c r="V8" s="34"/>
      <c r="W8" s="34"/>
    </row>
    <row r="9" ht="17" spans="1:23">
      <c r="A9" s="41"/>
      <c r="B9" s="42"/>
      <c r="C9" s="50" t="s">
        <v>42</v>
      </c>
      <c r="D9" s="51">
        <v>30</v>
      </c>
      <c r="E9" s="51">
        <v>30</v>
      </c>
      <c r="F9" s="51">
        <v>43</v>
      </c>
      <c r="G9" s="52">
        <v>90</v>
      </c>
      <c r="H9" s="51">
        <v>0</v>
      </c>
      <c r="I9" s="51">
        <v>0</v>
      </c>
      <c r="J9" s="51">
        <v>29</v>
      </c>
      <c r="K9" s="51">
        <v>28</v>
      </c>
      <c r="L9" s="51">
        <v>80</v>
      </c>
      <c r="M9" s="51">
        <v>69</v>
      </c>
      <c r="N9" s="52">
        <v>109</v>
      </c>
      <c r="O9" s="52">
        <v>97</v>
      </c>
      <c r="P9" s="54">
        <v>296</v>
      </c>
      <c r="Q9" s="34"/>
      <c r="R9" s="34"/>
      <c r="S9" s="34"/>
      <c r="T9" s="34"/>
      <c r="U9" s="34"/>
      <c r="V9" s="34"/>
      <c r="W9" s="34"/>
    </row>
    <row r="10" ht="17" spans="1:23">
      <c r="A10" s="47"/>
      <c r="B10" s="40"/>
      <c r="C10" s="55" t="s">
        <v>43</v>
      </c>
      <c r="D10" s="56">
        <v>0</v>
      </c>
      <c r="E10" s="56">
        <v>0</v>
      </c>
      <c r="F10" s="56">
        <v>-3</v>
      </c>
      <c r="G10" s="56">
        <v>10</v>
      </c>
      <c r="H10" s="56">
        <v>0</v>
      </c>
      <c r="I10" s="56">
        <v>0</v>
      </c>
      <c r="J10" s="56">
        <v>31</v>
      </c>
      <c r="K10" s="56">
        <v>32</v>
      </c>
      <c r="L10" s="56">
        <v>0</v>
      </c>
      <c r="M10" s="56">
        <v>11</v>
      </c>
      <c r="N10" s="56">
        <v>31</v>
      </c>
      <c r="O10" s="56">
        <v>43</v>
      </c>
      <c r="P10" s="56">
        <v>84</v>
      </c>
      <c r="Q10" s="34"/>
      <c r="R10" s="34"/>
      <c r="S10" s="34"/>
      <c r="T10" s="34"/>
      <c r="U10" s="34"/>
      <c r="V10" s="34"/>
      <c r="W10" s="34"/>
    </row>
    <row r="11" ht="17" spans="1:23">
      <c r="A11" s="49" t="s">
        <v>59</v>
      </c>
      <c r="B11" s="42"/>
      <c r="C11" s="50" t="s">
        <v>41</v>
      </c>
      <c r="D11" s="51"/>
      <c r="E11" s="51"/>
      <c r="F11" s="51"/>
      <c r="G11" s="52">
        <v>0</v>
      </c>
      <c r="H11" s="51">
        <v>40</v>
      </c>
      <c r="I11" s="51">
        <v>40</v>
      </c>
      <c r="J11" s="51">
        <v>60</v>
      </c>
      <c r="K11" s="51">
        <v>60</v>
      </c>
      <c r="L11" s="51">
        <v>60</v>
      </c>
      <c r="M11" s="51">
        <v>60</v>
      </c>
      <c r="N11" s="52">
        <v>160</v>
      </c>
      <c r="O11" s="52">
        <v>160</v>
      </c>
      <c r="P11" s="53">
        <v>320</v>
      </c>
      <c r="Q11" s="34"/>
      <c r="R11" s="34"/>
      <c r="S11" s="34"/>
      <c r="T11" s="34"/>
      <c r="U11" s="34"/>
      <c r="V11" s="34"/>
      <c r="W11" s="34"/>
    </row>
    <row r="12" ht="17" spans="1:23">
      <c r="A12" s="41"/>
      <c r="B12" s="42"/>
      <c r="C12" s="50" t="s">
        <v>42</v>
      </c>
      <c r="D12" s="51">
        <v>0</v>
      </c>
      <c r="E12" s="51">
        <v>0</v>
      </c>
      <c r="F12" s="51">
        <v>0</v>
      </c>
      <c r="G12" s="52">
        <v>0</v>
      </c>
      <c r="H12" s="51">
        <v>6</v>
      </c>
      <c r="I12" s="51">
        <v>6</v>
      </c>
      <c r="J12" s="51">
        <v>32</v>
      </c>
      <c r="K12" s="51">
        <v>55</v>
      </c>
      <c r="L12" s="51">
        <v>60</v>
      </c>
      <c r="M12" s="51">
        <v>59</v>
      </c>
      <c r="N12" s="52">
        <v>98</v>
      </c>
      <c r="O12" s="52">
        <v>120</v>
      </c>
      <c r="P12" s="54">
        <v>218</v>
      </c>
      <c r="Q12" s="34"/>
      <c r="R12" s="34"/>
      <c r="S12" s="34"/>
      <c r="T12" s="34"/>
      <c r="U12" s="34"/>
      <c r="V12" s="34"/>
      <c r="W12" s="34"/>
    </row>
    <row r="13" ht="17" spans="1:23">
      <c r="A13" s="47"/>
      <c r="B13" s="40"/>
      <c r="C13" s="55" t="s">
        <v>43</v>
      </c>
      <c r="D13" s="56">
        <v>0</v>
      </c>
      <c r="E13" s="56">
        <v>0</v>
      </c>
      <c r="F13" s="56">
        <v>0</v>
      </c>
      <c r="G13" s="56">
        <v>0</v>
      </c>
      <c r="H13" s="56">
        <v>34</v>
      </c>
      <c r="I13" s="56">
        <v>34</v>
      </c>
      <c r="J13" s="56">
        <v>28</v>
      </c>
      <c r="K13" s="56">
        <v>5</v>
      </c>
      <c r="L13" s="56">
        <v>0</v>
      </c>
      <c r="M13" s="56">
        <v>1</v>
      </c>
      <c r="N13" s="56">
        <v>62</v>
      </c>
      <c r="O13" s="56">
        <v>40</v>
      </c>
      <c r="P13" s="56">
        <v>102</v>
      </c>
      <c r="Q13" s="34"/>
      <c r="R13" s="34"/>
      <c r="S13" s="34"/>
      <c r="T13" s="34"/>
      <c r="U13" s="34"/>
      <c r="V13" s="34"/>
      <c r="W13" s="34"/>
    </row>
    <row r="14" ht="17" spans="1:23">
      <c r="A14" s="49" t="s">
        <v>60</v>
      </c>
      <c r="B14" s="42"/>
      <c r="C14" s="50" t="s">
        <v>41</v>
      </c>
      <c r="D14" s="51">
        <v>15</v>
      </c>
      <c r="E14" s="51">
        <v>30</v>
      </c>
      <c r="F14" s="51">
        <v>40</v>
      </c>
      <c r="G14" s="52">
        <v>85</v>
      </c>
      <c r="H14" s="51"/>
      <c r="I14" s="51"/>
      <c r="J14" s="51">
        <v>40</v>
      </c>
      <c r="K14" s="51">
        <v>20</v>
      </c>
      <c r="L14" s="51">
        <v>40</v>
      </c>
      <c r="M14" s="51">
        <v>20</v>
      </c>
      <c r="N14" s="52">
        <v>80</v>
      </c>
      <c r="O14" s="52">
        <v>40</v>
      </c>
      <c r="P14" s="53">
        <v>205</v>
      </c>
      <c r="Q14" s="34"/>
      <c r="R14" s="34"/>
      <c r="S14" s="34"/>
      <c r="T14" s="34"/>
      <c r="U14" s="34"/>
      <c r="V14" s="34"/>
      <c r="W14" s="34"/>
    </row>
    <row r="15" ht="17" spans="1:23">
      <c r="A15" s="41"/>
      <c r="B15" s="42"/>
      <c r="C15" s="50" t="s">
        <v>42</v>
      </c>
      <c r="D15" s="51">
        <v>15</v>
      </c>
      <c r="E15" s="51">
        <v>30</v>
      </c>
      <c r="F15" s="51">
        <f>19+18</f>
        <v>37</v>
      </c>
      <c r="G15" s="52">
        <v>59</v>
      </c>
      <c r="H15" s="51">
        <v>0</v>
      </c>
      <c r="I15" s="51">
        <v>0</v>
      </c>
      <c r="J15" s="51">
        <v>29</v>
      </c>
      <c r="K15" s="51">
        <v>10</v>
      </c>
      <c r="L15" s="51">
        <v>28</v>
      </c>
      <c r="M15" s="51">
        <v>18</v>
      </c>
      <c r="N15" s="52">
        <v>57</v>
      </c>
      <c r="O15" s="52">
        <v>28</v>
      </c>
      <c r="P15" s="54">
        <v>144</v>
      </c>
      <c r="Q15" s="34"/>
      <c r="R15" s="34"/>
      <c r="S15" s="34"/>
      <c r="T15" s="34"/>
      <c r="U15" s="34"/>
      <c r="V15" s="34"/>
      <c r="W15" s="34"/>
    </row>
    <row r="16" ht="17" spans="1:23">
      <c r="A16" s="47"/>
      <c r="B16" s="40"/>
      <c r="C16" s="55" t="s">
        <v>43</v>
      </c>
      <c r="D16" s="56">
        <v>8</v>
      </c>
      <c r="E16" s="56">
        <v>13</v>
      </c>
      <c r="F16" s="56">
        <v>5</v>
      </c>
      <c r="G16" s="56">
        <v>26</v>
      </c>
      <c r="H16" s="56">
        <v>0</v>
      </c>
      <c r="I16" s="56">
        <v>0</v>
      </c>
      <c r="J16" s="56">
        <v>11</v>
      </c>
      <c r="K16" s="56">
        <v>10</v>
      </c>
      <c r="L16" s="56">
        <v>12</v>
      </c>
      <c r="M16" s="56">
        <v>2</v>
      </c>
      <c r="N16" s="56">
        <v>23</v>
      </c>
      <c r="O16" s="56">
        <v>12</v>
      </c>
      <c r="P16" s="56">
        <v>61</v>
      </c>
      <c r="Q16" s="34"/>
      <c r="R16" s="34"/>
      <c r="S16" s="34"/>
      <c r="T16" s="34"/>
      <c r="U16" s="34"/>
      <c r="V16" s="34"/>
      <c r="W16" s="34"/>
    </row>
    <row r="17" ht="17" spans="1:24">
      <c r="A17" s="49" t="s">
        <v>61</v>
      </c>
      <c r="B17" s="42"/>
      <c r="C17" s="50" t="s">
        <v>41</v>
      </c>
      <c r="D17" s="51">
        <v>15</v>
      </c>
      <c r="E17" s="51">
        <v>15</v>
      </c>
      <c r="F17" s="51">
        <v>40</v>
      </c>
      <c r="G17" s="52">
        <v>70</v>
      </c>
      <c r="H17" s="51"/>
      <c r="I17" s="51"/>
      <c r="J17" s="51">
        <v>70</v>
      </c>
      <c r="K17" s="51"/>
      <c r="L17" s="51"/>
      <c r="M17" s="51">
        <v>70</v>
      </c>
      <c r="N17" s="52">
        <v>70</v>
      </c>
      <c r="O17" s="52">
        <v>70</v>
      </c>
      <c r="P17" s="53">
        <v>210</v>
      </c>
      <c r="Q17" s="34"/>
      <c r="R17" s="34"/>
      <c r="S17" s="34"/>
      <c r="T17" s="34"/>
      <c r="U17" s="34"/>
      <c r="V17" s="34"/>
      <c r="W17" s="34"/>
    </row>
    <row r="18" ht="17" spans="1:24">
      <c r="A18" s="41"/>
      <c r="B18" s="42"/>
      <c r="C18" s="50" t="s">
        <v>42</v>
      </c>
      <c r="D18" s="51">
        <v>15</v>
      </c>
      <c r="E18" s="51">
        <v>15</v>
      </c>
      <c r="F18" s="51">
        <v>40</v>
      </c>
      <c r="G18" s="52">
        <v>46</v>
      </c>
      <c r="H18" s="51">
        <v>0</v>
      </c>
      <c r="I18" s="51">
        <v>0</v>
      </c>
      <c r="J18" s="51">
        <v>38</v>
      </c>
      <c r="K18" s="51">
        <v>0</v>
      </c>
      <c r="L18" s="51">
        <v>0</v>
      </c>
      <c r="M18" s="51">
        <v>69</v>
      </c>
      <c r="N18" s="52">
        <v>38</v>
      </c>
      <c r="O18" s="52">
        <v>69</v>
      </c>
      <c r="P18" s="54">
        <v>153</v>
      </c>
      <c r="Q18" s="34"/>
      <c r="R18" s="34"/>
      <c r="S18" s="34"/>
      <c r="T18" s="34"/>
      <c r="U18" s="34"/>
      <c r="V18" s="34"/>
      <c r="W18" s="34"/>
    </row>
    <row r="19" ht="17" spans="1:24">
      <c r="A19" s="47"/>
      <c r="B19" s="40"/>
      <c r="C19" s="55" t="s">
        <v>43</v>
      </c>
      <c r="D19" s="56">
        <v>0</v>
      </c>
      <c r="E19" s="56">
        <v>0</v>
      </c>
      <c r="F19" s="56">
        <v>0</v>
      </c>
      <c r="G19" s="56">
        <v>24</v>
      </c>
      <c r="H19" s="56">
        <v>0</v>
      </c>
      <c r="I19" s="56">
        <v>0</v>
      </c>
      <c r="J19" s="56">
        <v>32</v>
      </c>
      <c r="K19" s="56">
        <v>0</v>
      </c>
      <c r="L19" s="56">
        <v>0</v>
      </c>
      <c r="M19" s="56">
        <v>1</v>
      </c>
      <c r="N19" s="56">
        <v>32</v>
      </c>
      <c r="O19" s="56">
        <v>1</v>
      </c>
      <c r="P19" s="56">
        <v>57</v>
      </c>
      <c r="Q19" s="34"/>
      <c r="R19" s="34"/>
      <c r="S19" s="34"/>
      <c r="T19" s="34"/>
      <c r="U19" s="34"/>
      <c r="V19" s="34"/>
      <c r="W19" s="34"/>
    </row>
    <row r="20" ht="17" spans="1:24">
      <c r="A20" s="33"/>
      <c r="B20" s="33"/>
      <c r="C20" s="33"/>
      <c r="D20" s="33"/>
      <c r="E20" s="33"/>
      <c r="F20" s="33"/>
      <c r="G20" s="33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</row>
    <row r="21" ht="15.75" customHeight="1" spans="1:24">
      <c r="A21" s="33"/>
      <c r="B21" s="33"/>
      <c r="C21" s="33"/>
      <c r="D21" s="33"/>
      <c r="E21" s="33"/>
      <c r="F21" s="33"/>
      <c r="G21" s="33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</row>
    <row r="22" ht="15.75" customHeight="1" spans="1:24">
      <c r="A22" s="33"/>
      <c r="B22" s="33"/>
      <c r="C22" s="33"/>
      <c r="D22" s="33"/>
      <c r="E22" s="33"/>
      <c r="F22" s="33"/>
      <c r="G22" s="33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</row>
    <row r="23" ht="34" spans="1:24">
      <c r="A23" s="81" t="s">
        <v>14</v>
      </c>
      <c r="B23" s="82" t="s">
        <v>6</v>
      </c>
      <c r="C23" s="82" t="s">
        <v>15</v>
      </c>
      <c r="D23" s="82" t="s">
        <v>16</v>
      </c>
      <c r="E23" s="82" t="s">
        <v>10</v>
      </c>
      <c r="F23" s="83" t="s">
        <v>17</v>
      </c>
      <c r="G23" s="83" t="s">
        <v>18</v>
      </c>
      <c r="H23" s="84"/>
      <c r="I23" s="84"/>
      <c r="J23" s="84"/>
      <c r="K23" s="84"/>
      <c r="L23" s="84"/>
      <c r="M23" s="84"/>
      <c r="N23" s="84"/>
      <c r="O23" s="84"/>
      <c r="P23" s="84"/>
      <c r="Q23" s="84"/>
      <c r="R23" s="84"/>
      <c r="S23" s="84"/>
      <c r="T23" s="84"/>
      <c r="U23" s="84"/>
      <c r="V23" s="84"/>
      <c r="W23" s="84"/>
      <c r="X23" s="84"/>
    </row>
    <row r="24" ht="15.75" customHeight="1" spans="1:24">
      <c r="A24" s="62" t="str">
        <f>IFERROR(__xludf.DUMMYFUNCTION("QUERY(dados_02!$A$2:$H$675, ""SELECT Col1, Col2, Col3, Col4, Col5, Col6, Col7  where Col8 = 'REGIONAL 5' "")"),"19/03/2026 08:28:18")</f>
        <v>19/03/2026 08:28:18</v>
      </c>
      <c r="B24" s="63" t="str">
        <f>IFERROR(__xludf.DUMMYFUNCTION("""COMPUTED_VALUE"""),"1")</f>
        <v>1</v>
      </c>
      <c r="C24" s="34" t="str">
        <f>IFERROR(__xludf.DUMMYFUNCTION("""COMPUTED_VALUE"""),"M. C. D. L")</f>
        <v>M. C. D. L</v>
      </c>
      <c r="D24" s="64" t="str">
        <f>IFERROR(__xludf.DUMMYFUNCTION("""COMPUTED_VALUE"""),"16/12/2024")</f>
        <v>16/12/2024</v>
      </c>
      <c r="E24" s="34" t="str">
        <f>IFERROR(__xludf.DUMMYFUNCTION("""COMPUTED_VALUE"""),"004******32")</f>
        <v>004******32</v>
      </c>
      <c r="F24" s="34" t="str">
        <f>IFERROR(__xludf.DUMMYFUNCTION("""COMPUTED_VALUE"""),"INFANTIL 1")</f>
        <v>INFANTIL 1</v>
      </c>
      <c r="G24" s="65" t="str">
        <f>IFERROR(__xludf.DUMMYFUNCTION("""COMPUTED_VALUE"""),"CEMEI PROFª MARIA LUZIA RIO LIMA")</f>
        <v>CEMEI PROFª MARIA LUZIA RIO LIMA</v>
      </c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</row>
    <row r="25" ht="15.75" customHeight="1" spans="1:24">
      <c r="A25" s="62" t="str">
        <f>IFERROR(__xludf.DUMMYFUNCTION("""COMPUTED_VALUE"""),"19/03/2026 08:46:18")</f>
        <v>19/03/2026 08:46:18</v>
      </c>
      <c r="B25" s="63" t="str">
        <f>IFERROR(__xludf.DUMMYFUNCTION("""COMPUTED_VALUE"""),"2")</f>
        <v>2</v>
      </c>
      <c r="C25" s="34" t="str">
        <f>IFERROR(__xludf.DUMMYFUNCTION("""COMPUTED_VALUE"""),"M. F. D. L")</f>
        <v>M. F. D. L</v>
      </c>
      <c r="D25" s="64" t="str">
        <f>IFERROR(__xludf.DUMMYFUNCTION("""COMPUTED_VALUE"""),"16/12/2024")</f>
        <v>16/12/2024</v>
      </c>
      <c r="E25" s="34" t="str">
        <f>IFERROR(__xludf.DUMMYFUNCTION("""COMPUTED_VALUE"""),"004******97")</f>
        <v>004******97</v>
      </c>
      <c r="F25" s="34" t="str">
        <f>IFERROR(__xludf.DUMMYFUNCTION("""COMPUTED_VALUE"""),"INFANTIL 1")</f>
        <v>INFANTIL 1</v>
      </c>
      <c r="G25" s="65" t="str">
        <f>IFERROR(__xludf.DUMMYFUNCTION("""COMPUTED_VALUE"""),"CEMEI PROFª MARIA LUZIA RIO LIMA")</f>
        <v>CEMEI PROFª MARIA LUZIA RIO LIMA</v>
      </c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</row>
    <row r="26" ht="15.75" customHeight="1" spans="1:24">
      <c r="A26" s="62" t="str">
        <f>IFERROR(__xludf.DUMMYFUNCTION("""COMPUTED_VALUE"""),"06/05/2026 15:38:45")</f>
        <v>06/05/2026 15:38:45</v>
      </c>
      <c r="B26" s="63" t="str">
        <f>IFERROR(__xludf.DUMMYFUNCTION("""COMPUTED_VALUE"""),"3")</f>
        <v>3</v>
      </c>
      <c r="C26" s="34" t="str">
        <f>IFERROR(__xludf.DUMMYFUNCTION("""COMPUTED_VALUE"""),"E. L. F. D. S")</f>
        <v>E. L. F. D. S</v>
      </c>
      <c r="D26" s="64" t="str">
        <f>IFERROR(__xludf.DUMMYFUNCTION("""COMPUTED_VALUE"""),"05/09/2024")</f>
        <v>05/09/2024</v>
      </c>
      <c r="E26" s="34" t="str">
        <f>IFERROR(__xludf.DUMMYFUNCTION("""COMPUTED_VALUE"""),"118******81")</f>
        <v>118******81</v>
      </c>
      <c r="F26" s="34" t="str">
        <f>IFERROR(__xludf.DUMMYFUNCTION("""COMPUTED_VALUE"""),"INFANTIL 1")</f>
        <v>INFANTIL 1</v>
      </c>
      <c r="G26" s="65" t="str">
        <f>IFERROR(__xludf.DUMMYFUNCTION("""COMPUTED_VALUE"""),"CEMEI PROFª MARIA LUZIA RIO LIMA")</f>
        <v>CEMEI PROFª MARIA LUZIA RIO LIMA</v>
      </c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</row>
    <row r="27" ht="15.75" customHeight="1" spans="1:24">
      <c r="A27" s="62" t="str">
        <f>IFERROR(__xludf.DUMMYFUNCTION("""COMPUTED_VALUE"""),"28/01/2026 08:05:20")</f>
        <v>28/01/2026 08:05:20</v>
      </c>
      <c r="B27" s="63" t="str">
        <f>IFERROR(__xludf.DUMMYFUNCTION("""COMPUTED_VALUE"""),"1")</f>
        <v>1</v>
      </c>
      <c r="C27" s="34" t="str">
        <f>IFERROR(__xludf.DUMMYFUNCTION("""COMPUTED_VALUE"""),"R. L. S")</f>
        <v>R. L. S</v>
      </c>
      <c r="D27" s="64" t="str">
        <f>IFERROR(__xludf.DUMMYFUNCTION("""COMPUTED_VALUE"""),"29/08/2024")</f>
        <v>29/08/2024</v>
      </c>
      <c r="E27" s="34" t="str">
        <f>IFERROR(__xludf.DUMMYFUNCTION("""COMPUTED_VALUE"""),"003******40")</f>
        <v>003******40</v>
      </c>
      <c r="F27" s="34" t="str">
        <f>IFERROR(__xludf.DUMMYFUNCTION("""COMPUTED_VALUE"""),"INFANTIL 1")</f>
        <v>INFANTIL 1</v>
      </c>
      <c r="G27" s="65" t="str">
        <f>IFERROR(__xludf.DUMMYFUNCTION("""COMPUTED_VALUE"""),"CEMEI PROFESSORA LINDOMAR DOMINGOS DA SILVA ANJOS")</f>
        <v>CEMEI PROFESSORA LINDOMAR DOMINGOS DA SILVA ANJOS</v>
      </c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</row>
    <row r="28" ht="15.75" customHeight="1" spans="1:24">
      <c r="A28" s="62" t="str">
        <f>IFERROR(__xludf.DUMMYFUNCTION("""COMPUTED_VALUE"""),"28/01/2026 08:08:23")</f>
        <v>28/01/2026 08:08:23</v>
      </c>
      <c r="B28" s="63" t="str">
        <f>IFERROR(__xludf.DUMMYFUNCTION("""COMPUTED_VALUE"""),"2")</f>
        <v>2</v>
      </c>
      <c r="C28" s="34" t="str">
        <f>IFERROR(__xludf.DUMMYFUNCTION("""COMPUTED_VALUE"""),"L. S. D. S. A")</f>
        <v>L. S. D. S. A</v>
      </c>
      <c r="D28" s="64" t="str">
        <f>IFERROR(__xludf.DUMMYFUNCTION("""COMPUTED_VALUE"""),"07/11/2024")</f>
        <v>07/11/2024</v>
      </c>
      <c r="E28" s="34" t="str">
        <f>IFERROR(__xludf.DUMMYFUNCTION("""COMPUTED_VALUE"""),"004******67")</f>
        <v>004******67</v>
      </c>
      <c r="F28" s="34" t="str">
        <f>IFERROR(__xludf.DUMMYFUNCTION("""COMPUTED_VALUE"""),"INFANTIL 1")</f>
        <v>INFANTIL 1</v>
      </c>
      <c r="G28" s="65" t="str">
        <f>IFERROR(__xludf.DUMMYFUNCTION("""COMPUTED_VALUE"""),"CEMEI PROFESSORA LINDOMAR DOMINGOS DA SILVA ANJOS")</f>
        <v>CEMEI PROFESSORA LINDOMAR DOMINGOS DA SILVA ANJOS</v>
      </c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</row>
    <row r="29" ht="15.75" customHeight="1" spans="1:24">
      <c r="A29" s="62" t="str">
        <f>IFERROR(__xludf.DUMMYFUNCTION("""COMPUTED_VALUE"""),"28/01/2026 08:08:37")</f>
        <v>28/01/2026 08:08:37</v>
      </c>
      <c r="B29" s="63" t="str">
        <f>IFERROR(__xludf.DUMMYFUNCTION("""COMPUTED_VALUE"""),"3")</f>
        <v>3</v>
      </c>
      <c r="C29" s="34" t="str">
        <f>IFERROR(__xludf.DUMMYFUNCTION("""COMPUTED_VALUE"""),"B. A. C. S")</f>
        <v>B. A. C. S</v>
      </c>
      <c r="D29" s="64" t="str">
        <f>IFERROR(__xludf.DUMMYFUNCTION("""COMPUTED_VALUE"""),"13/09/2024")</f>
        <v>13/09/2024</v>
      </c>
      <c r="E29" s="34" t="str">
        <f>IFERROR(__xludf.DUMMYFUNCTION("""COMPUTED_VALUE"""),"004******74")</f>
        <v>004******74</v>
      </c>
      <c r="F29" s="34" t="str">
        <f>IFERROR(__xludf.DUMMYFUNCTION("""COMPUTED_VALUE"""),"INFANTIL 1")</f>
        <v>INFANTIL 1</v>
      </c>
      <c r="G29" s="65" t="str">
        <f>IFERROR(__xludf.DUMMYFUNCTION("""COMPUTED_VALUE"""),"CEMEI PROFESSORA LINDOMAR DOMINGOS DA SILVA ANJOS")</f>
        <v>CEMEI PROFESSORA LINDOMAR DOMINGOS DA SILVA ANJOS</v>
      </c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</row>
    <row r="30" ht="15.75" customHeight="1" spans="1:24">
      <c r="A30" s="62" t="str">
        <f>IFERROR(__xludf.DUMMYFUNCTION("""COMPUTED_VALUE"""),"28/01/2026 08:11:25")</f>
        <v>28/01/2026 08:11:25</v>
      </c>
      <c r="B30" s="63" t="str">
        <f>IFERROR(__xludf.DUMMYFUNCTION("""COMPUTED_VALUE"""),"4")</f>
        <v>4</v>
      </c>
      <c r="C30" s="34" t="str">
        <f>IFERROR(__xludf.DUMMYFUNCTION("""COMPUTED_VALUE"""),"A. L. C. D. S. M")</f>
        <v>A. L. C. D. S. M</v>
      </c>
      <c r="D30" s="64" t="str">
        <f>IFERROR(__xludf.DUMMYFUNCTION("""COMPUTED_VALUE"""),"20/04/2024")</f>
        <v>20/04/2024</v>
      </c>
      <c r="E30" s="34" t="str">
        <f>IFERROR(__xludf.DUMMYFUNCTION("""COMPUTED_VALUE"""),"170******77")</f>
        <v>170******77</v>
      </c>
      <c r="F30" s="34" t="str">
        <f>IFERROR(__xludf.DUMMYFUNCTION("""COMPUTED_VALUE"""),"INFANTIL 1")</f>
        <v>INFANTIL 1</v>
      </c>
      <c r="G30" s="65" t="str">
        <f>IFERROR(__xludf.DUMMYFUNCTION("""COMPUTED_VALUE"""),"CEMEI PROFESSORA LINDOMAR DOMINGOS DA SILVA ANJOS")</f>
        <v>CEMEI PROFESSORA LINDOMAR DOMINGOS DA SILVA ANJOS</v>
      </c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</row>
    <row r="31" ht="15.75" customHeight="1" spans="1:24">
      <c r="A31" s="62" t="str">
        <f>IFERROR(__xludf.DUMMYFUNCTION("""COMPUTED_VALUE"""),"28/01/2026 08:13:45")</f>
        <v>28/01/2026 08:13:45</v>
      </c>
      <c r="B31" s="63" t="str">
        <f>IFERROR(__xludf.DUMMYFUNCTION("""COMPUTED_VALUE"""),"5")</f>
        <v>5</v>
      </c>
      <c r="C31" s="34" t="str">
        <f>IFERROR(__xludf.DUMMYFUNCTION("""COMPUTED_VALUE"""),"G. L. C. D. S")</f>
        <v>G. L. C. D. S</v>
      </c>
      <c r="D31" s="64" t="str">
        <f>IFERROR(__xludf.DUMMYFUNCTION("""COMPUTED_VALUE"""),"18/07/2024")</f>
        <v>18/07/2024</v>
      </c>
      <c r="E31" s="34" t="str">
        <f>IFERROR(__xludf.DUMMYFUNCTION("""COMPUTED_VALUE"""),"003******31")</f>
        <v>003******31</v>
      </c>
      <c r="F31" s="34" t="str">
        <f>IFERROR(__xludf.DUMMYFUNCTION("""COMPUTED_VALUE"""),"INFANTIL 1")</f>
        <v>INFANTIL 1</v>
      </c>
      <c r="G31" s="65" t="str">
        <f>IFERROR(__xludf.DUMMYFUNCTION("""COMPUTED_VALUE"""),"CEMEI PROFESSORA LINDOMAR DOMINGOS DA SILVA ANJOS")</f>
        <v>CEMEI PROFESSORA LINDOMAR DOMINGOS DA SILVA ANJOS</v>
      </c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</row>
    <row r="32" ht="15.75" customHeight="1" spans="1:24">
      <c r="A32" s="62" t="str">
        <f>IFERROR(__xludf.DUMMYFUNCTION("""COMPUTED_VALUE"""),"28/01/2026 08:25:22")</f>
        <v>28/01/2026 08:25:22</v>
      </c>
      <c r="B32" s="63" t="str">
        <f>IFERROR(__xludf.DUMMYFUNCTION("""COMPUTED_VALUE"""),"6")</f>
        <v>6</v>
      </c>
      <c r="C32" s="34" t="str">
        <f>IFERROR(__xludf.DUMMYFUNCTION("""COMPUTED_VALUE"""),"H. M. B. D. S")</f>
        <v>H. M. B. D. S</v>
      </c>
      <c r="D32" s="64" t="str">
        <f>IFERROR(__xludf.DUMMYFUNCTION("""COMPUTED_VALUE"""),"02/11/2024")</f>
        <v>02/11/2024</v>
      </c>
      <c r="E32" s="34" t="str">
        <f>IFERROR(__xludf.DUMMYFUNCTION("""COMPUTED_VALUE"""),"004******61")</f>
        <v>004******61</v>
      </c>
      <c r="F32" s="34" t="str">
        <f>IFERROR(__xludf.DUMMYFUNCTION("""COMPUTED_VALUE"""),"INFANTIL 1")</f>
        <v>INFANTIL 1</v>
      </c>
      <c r="G32" s="65" t="str">
        <f>IFERROR(__xludf.DUMMYFUNCTION("""COMPUTED_VALUE"""),"CEMEI PROFESSORA LINDOMAR DOMINGOS DA SILVA ANJOS")</f>
        <v>CEMEI PROFESSORA LINDOMAR DOMINGOS DA SILVA ANJOS</v>
      </c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</row>
    <row r="33" ht="15.75" customHeight="1" spans="1:24">
      <c r="A33" s="62" t="str">
        <f>IFERROR(__xludf.DUMMYFUNCTION("""COMPUTED_VALUE"""),"28/01/2026 09:18:21")</f>
        <v>28/01/2026 09:18:21</v>
      </c>
      <c r="B33" s="63" t="str">
        <f>IFERROR(__xludf.DUMMYFUNCTION("""COMPUTED_VALUE"""),"7")</f>
        <v>7</v>
      </c>
      <c r="C33" s="34" t="str">
        <f>IFERROR(__xludf.DUMMYFUNCTION("""COMPUTED_VALUE"""),"H. F. M. D. S")</f>
        <v>H. F. M. D. S</v>
      </c>
      <c r="D33" s="85" t="str">
        <f>IFERROR(__xludf.DUMMYFUNCTION("""COMPUTED_VALUE"""),"15/01/2025")</f>
        <v>15/01/2025</v>
      </c>
      <c r="E33" s="34" t="str">
        <f>IFERROR(__xludf.DUMMYFUNCTION("""COMPUTED_VALUE"""),"005******11")</f>
        <v>005******11</v>
      </c>
      <c r="F33" s="34" t="str">
        <f>IFERROR(__xludf.DUMMYFUNCTION("""COMPUTED_VALUE"""),"INFANTIL 1")</f>
        <v>INFANTIL 1</v>
      </c>
      <c r="G33" s="65" t="str">
        <f>IFERROR(__xludf.DUMMYFUNCTION("""COMPUTED_VALUE"""),"CEMEI PROFESSORA LINDOMAR DOMINGOS DA SILVA ANJOS")</f>
        <v>CEMEI PROFESSORA LINDOMAR DOMINGOS DA SILVA ANJOS</v>
      </c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</row>
    <row r="34" ht="15.75" customHeight="1" spans="1:24">
      <c r="A34" s="62" t="str">
        <f>IFERROR(__xludf.DUMMYFUNCTION("""COMPUTED_VALUE"""),"28/01/2026 09:33:11")</f>
        <v>28/01/2026 09:33:11</v>
      </c>
      <c r="B34" s="63" t="str">
        <f>IFERROR(__xludf.DUMMYFUNCTION("""COMPUTED_VALUE"""),"8")</f>
        <v>8</v>
      </c>
      <c r="C34" s="34" t="str">
        <f>IFERROR(__xludf.DUMMYFUNCTION("""COMPUTED_VALUE"""),"J. E. D. S")</f>
        <v>J. E. D. S</v>
      </c>
      <c r="D34" s="64" t="str">
        <f>IFERROR(__xludf.DUMMYFUNCTION("""COMPUTED_VALUE"""),"23/06/2024")</f>
        <v>23/06/2024</v>
      </c>
      <c r="E34" s="34" t="str">
        <f>IFERROR(__xludf.DUMMYFUNCTION("""COMPUTED_VALUE"""),"004******68")</f>
        <v>004******68</v>
      </c>
      <c r="F34" s="34" t="str">
        <f>IFERROR(__xludf.DUMMYFUNCTION("""COMPUTED_VALUE"""),"INFANTIL 1")</f>
        <v>INFANTIL 1</v>
      </c>
      <c r="G34" s="65" t="str">
        <f>IFERROR(__xludf.DUMMYFUNCTION("""COMPUTED_VALUE"""),"CEMEI PROFESSORA LINDOMAR DOMINGOS DA SILVA ANJOS")</f>
        <v>CEMEI PROFESSORA LINDOMAR DOMINGOS DA SILVA ANJOS</v>
      </c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</row>
    <row r="35" ht="15.75" customHeight="1" spans="1:24">
      <c r="A35" s="62" t="str">
        <f>IFERROR(__xludf.DUMMYFUNCTION("""COMPUTED_VALUE"""),"28/01/2026 09:38:34")</f>
        <v>28/01/2026 09:38:34</v>
      </c>
      <c r="B35" s="63" t="str">
        <f>IFERROR(__xludf.DUMMYFUNCTION("""COMPUTED_VALUE"""),"9")</f>
        <v>9</v>
      </c>
      <c r="C35" s="34" t="str">
        <f>IFERROR(__xludf.DUMMYFUNCTION("""COMPUTED_VALUE"""),"A. G. F. S")</f>
        <v>A. G. F. S</v>
      </c>
      <c r="D35" s="64" t="str">
        <f>IFERROR(__xludf.DUMMYFUNCTION("""COMPUTED_VALUE"""),"31/05/2024")</f>
        <v>31/05/2024</v>
      </c>
      <c r="E35" s="34" t="str">
        <f>IFERROR(__xludf.DUMMYFUNCTION("""COMPUTED_VALUE"""),"003******24")</f>
        <v>003******24</v>
      </c>
      <c r="F35" s="34" t="str">
        <f>IFERROR(__xludf.DUMMYFUNCTION("""COMPUTED_VALUE"""),"INFANTIL 1")</f>
        <v>INFANTIL 1</v>
      </c>
      <c r="G35" s="65" t="str">
        <f>IFERROR(__xludf.DUMMYFUNCTION("""COMPUTED_VALUE"""),"CEMEI PROFESSORA LINDOMAR DOMINGOS DA SILVA ANJOS")</f>
        <v>CEMEI PROFESSORA LINDOMAR DOMINGOS DA SILVA ANJOS</v>
      </c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</row>
    <row r="36" ht="15.75" customHeight="1" spans="1:24">
      <c r="A36" s="62" t="str">
        <f>IFERROR(__xludf.DUMMYFUNCTION("""COMPUTED_VALUE"""),"28/01/2026 10:45:36")</f>
        <v>28/01/2026 10:45:36</v>
      </c>
      <c r="B36" s="63" t="str">
        <f>IFERROR(__xludf.DUMMYFUNCTION("""COMPUTED_VALUE"""),"10")</f>
        <v>10</v>
      </c>
      <c r="C36" s="34" t="str">
        <f>IFERROR(__xludf.DUMMYFUNCTION("""COMPUTED_VALUE"""),"T. M. D. S")</f>
        <v>T. M. D. S</v>
      </c>
      <c r="D36" s="85" t="str">
        <f>IFERROR(__xludf.DUMMYFUNCTION("""COMPUTED_VALUE"""),"25/11/2024")</f>
        <v>25/11/2024</v>
      </c>
      <c r="E36" s="34" t="str">
        <f>IFERROR(__xludf.DUMMYFUNCTION("""COMPUTED_VALUE"""),"004******16")</f>
        <v>004******16</v>
      </c>
      <c r="F36" s="34" t="str">
        <f>IFERROR(__xludf.DUMMYFUNCTION("""COMPUTED_VALUE"""),"INFANTIL 1")</f>
        <v>INFANTIL 1</v>
      </c>
      <c r="G36" s="65" t="str">
        <f>IFERROR(__xludf.DUMMYFUNCTION("""COMPUTED_VALUE"""),"CEMEI PROFESSORA LINDOMAR DOMINGOS DA SILVA ANJOS")</f>
        <v>CEMEI PROFESSORA LINDOMAR DOMINGOS DA SILVA ANJOS</v>
      </c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</row>
    <row r="37" ht="15.75" customHeight="1" spans="1:24">
      <c r="A37" s="62" t="str">
        <f>IFERROR(__xludf.DUMMYFUNCTION("""COMPUTED_VALUE"""),"28/01/2026 12:49:55")</f>
        <v>28/01/2026 12:49:55</v>
      </c>
      <c r="B37" s="63" t="str">
        <f>IFERROR(__xludf.DUMMYFUNCTION("""COMPUTED_VALUE"""),"11")</f>
        <v>11</v>
      </c>
      <c r="C37" s="34" t="str">
        <f>IFERROR(__xludf.DUMMYFUNCTION("""COMPUTED_VALUE"""),"K. C. F. S. D. S")</f>
        <v>K. C. F. S. D. S</v>
      </c>
      <c r="D37" s="85" t="str">
        <f>IFERROR(__xludf.DUMMYFUNCTION("""COMPUTED_VALUE"""),"10/09/2024")</f>
        <v>10/09/2024</v>
      </c>
      <c r="E37" s="34" t="str">
        <f>IFERROR(__xludf.DUMMYFUNCTION("""COMPUTED_VALUE"""),"004******30")</f>
        <v>004******30</v>
      </c>
      <c r="F37" s="34" t="str">
        <f>IFERROR(__xludf.DUMMYFUNCTION("""COMPUTED_VALUE"""),"INFANTIL 1")</f>
        <v>INFANTIL 1</v>
      </c>
      <c r="G37" s="65" t="str">
        <f>IFERROR(__xludf.DUMMYFUNCTION("""COMPUTED_VALUE"""),"CEMEI PROFESSORA LINDOMAR DOMINGOS DA SILVA ANJOS")</f>
        <v>CEMEI PROFESSORA LINDOMAR DOMINGOS DA SILVA ANJOS</v>
      </c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</row>
    <row r="38" ht="15.75" customHeight="1" spans="1:24">
      <c r="A38" s="62" t="str">
        <f>IFERROR(__xludf.DUMMYFUNCTION("""COMPUTED_VALUE"""),"28/01/2026 20:34:21")</f>
        <v>28/01/2026 20:34:21</v>
      </c>
      <c r="B38" s="63" t="str">
        <f>IFERROR(__xludf.DUMMYFUNCTION("""COMPUTED_VALUE"""),"12")</f>
        <v>12</v>
      </c>
      <c r="C38" s="34" t="str">
        <f>IFERROR(__xludf.DUMMYFUNCTION("""COMPUTED_VALUE"""),"L. H. P. D. S")</f>
        <v>L. H. P. D. S</v>
      </c>
      <c r="D38" s="64" t="str">
        <f>IFERROR(__xludf.DUMMYFUNCTION("""COMPUTED_VALUE"""),"01/04/2024")</f>
        <v>01/04/2024</v>
      </c>
      <c r="E38" s="34" t="str">
        <f>IFERROR(__xludf.DUMMYFUNCTION("""COMPUTED_VALUE"""),"002******69")</f>
        <v>002******69</v>
      </c>
      <c r="F38" s="34" t="str">
        <f>IFERROR(__xludf.DUMMYFUNCTION("""COMPUTED_VALUE"""),"INFANTIL 1")</f>
        <v>INFANTIL 1</v>
      </c>
      <c r="G38" s="65" t="str">
        <f>IFERROR(__xludf.DUMMYFUNCTION("""COMPUTED_VALUE"""),"CEMEI PROFESSORA LINDOMAR DOMINGOS DA SILVA ANJOS")</f>
        <v>CEMEI PROFESSORA LINDOMAR DOMINGOS DA SILVA ANJOS</v>
      </c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</row>
    <row r="39" ht="15.75" customHeight="1" spans="1:24">
      <c r="A39" s="62" t="str">
        <f>IFERROR(__xludf.DUMMYFUNCTION("""COMPUTED_VALUE"""),"06/02/2026 14:12:06")</f>
        <v>06/02/2026 14:12:06</v>
      </c>
      <c r="B39" s="63" t="str">
        <f>IFERROR(__xludf.DUMMYFUNCTION("""COMPUTED_VALUE"""),"13")</f>
        <v>13</v>
      </c>
      <c r="C39" s="34" t="str">
        <f>IFERROR(__xludf.DUMMYFUNCTION("""COMPUTED_VALUE"""),"V. M. D. S. F")</f>
        <v>V. M. D. S. F</v>
      </c>
      <c r="D39" s="64" t="str">
        <f>IFERROR(__xludf.DUMMYFUNCTION("""COMPUTED_VALUE"""),"16/04/2024")</f>
        <v>16/04/2024</v>
      </c>
      <c r="E39" s="34" t="str">
        <f>IFERROR(__xludf.DUMMYFUNCTION("""COMPUTED_VALUE"""),"003******09")</f>
        <v>003******09</v>
      </c>
      <c r="F39" s="34" t="str">
        <f>IFERROR(__xludf.DUMMYFUNCTION("""COMPUTED_VALUE"""),"INFANTIL 1")</f>
        <v>INFANTIL 1</v>
      </c>
      <c r="G39" s="65" t="str">
        <f>IFERROR(__xludf.DUMMYFUNCTION("""COMPUTED_VALUE"""),"CEMEI PROFESSORA LINDOMAR DOMINGOS DA SILVA ANJOS")</f>
        <v>CEMEI PROFESSORA LINDOMAR DOMINGOS DA SILVA ANJOS</v>
      </c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</row>
    <row r="40" ht="15.75" customHeight="1" spans="1:24">
      <c r="A40" s="62" t="str">
        <f>IFERROR(__xludf.DUMMYFUNCTION("""COMPUTED_VALUE"""),"11/02/2026 09:26:12")</f>
        <v>11/02/2026 09:26:12</v>
      </c>
      <c r="B40" s="63" t="str">
        <f>IFERROR(__xludf.DUMMYFUNCTION("""COMPUTED_VALUE"""),"14")</f>
        <v>14</v>
      </c>
      <c r="C40" s="34" t="str">
        <f>IFERROR(__xludf.DUMMYFUNCTION("""COMPUTED_VALUE"""),"K. I. D. S. S")</f>
        <v>K. I. D. S. S</v>
      </c>
      <c r="D40" s="64" t="str">
        <f>IFERROR(__xludf.DUMMYFUNCTION("""COMPUTED_VALUE"""),"13/09/2024")</f>
        <v>13/09/2024</v>
      </c>
      <c r="E40" s="34" t="str">
        <f>IFERROR(__xludf.DUMMYFUNCTION("""COMPUTED_VALUE"""),"004******62")</f>
        <v>004******62</v>
      </c>
      <c r="F40" s="34" t="str">
        <f>IFERROR(__xludf.DUMMYFUNCTION("""COMPUTED_VALUE"""),"INFANTIL 1")</f>
        <v>INFANTIL 1</v>
      </c>
      <c r="G40" s="65" t="str">
        <f>IFERROR(__xludf.DUMMYFUNCTION("""COMPUTED_VALUE"""),"CEMEI PROFESSORA LINDOMAR DOMINGOS DA SILVA ANJOS")</f>
        <v>CEMEI PROFESSORA LINDOMAR DOMINGOS DA SILVA ANJOS</v>
      </c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</row>
    <row r="41" ht="15.75" customHeight="1" spans="1:24">
      <c r="A41" s="62" t="str">
        <f>IFERROR(__xludf.DUMMYFUNCTION("""COMPUTED_VALUE"""),"26/02/2026 23:54:06")</f>
        <v>26/02/2026 23:54:06</v>
      </c>
      <c r="B41" s="63" t="str">
        <f>IFERROR(__xludf.DUMMYFUNCTION("""COMPUTED_VALUE"""),"15")</f>
        <v>15</v>
      </c>
      <c r="C41" s="34" t="str">
        <f>IFERROR(__xludf.DUMMYFUNCTION("""COMPUTED_VALUE"""),"A. M. D. S. R")</f>
        <v>A. M. D. S. R</v>
      </c>
      <c r="D41" s="64" t="str">
        <f>IFERROR(__xludf.DUMMYFUNCTION("""COMPUTED_VALUE"""),"21/01/2025")</f>
        <v>21/01/2025</v>
      </c>
      <c r="E41" s="34" t="str">
        <f>IFERROR(__xludf.DUMMYFUNCTION("""COMPUTED_VALUE"""),"005******50")</f>
        <v>005******50</v>
      </c>
      <c r="F41" s="34" t="str">
        <f>IFERROR(__xludf.DUMMYFUNCTION("""COMPUTED_VALUE"""),"INFANTIL 1")</f>
        <v>INFANTIL 1</v>
      </c>
      <c r="G41" s="65" t="str">
        <f>IFERROR(__xludf.DUMMYFUNCTION("""COMPUTED_VALUE"""),"CEMEI PROFESSORA LINDOMAR DOMINGOS DA SILVA ANJOS")</f>
        <v>CEMEI PROFESSORA LINDOMAR DOMINGOS DA SILVA ANJOS</v>
      </c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</row>
    <row r="42" ht="15.75" customHeight="1" spans="1:24">
      <c r="A42" s="62" t="str">
        <f>IFERROR(__xludf.DUMMYFUNCTION("""COMPUTED_VALUE"""),"03/03/2026 13:59:55")</f>
        <v>03/03/2026 13:59:55</v>
      </c>
      <c r="B42" s="63" t="str">
        <f>IFERROR(__xludf.DUMMYFUNCTION("""COMPUTED_VALUE"""),"16")</f>
        <v>16</v>
      </c>
      <c r="C42" s="34" t="str">
        <f>IFERROR(__xludf.DUMMYFUNCTION("""COMPUTED_VALUE"""),"G. A. D. D. M")</f>
        <v>G. A. D. D. M</v>
      </c>
      <c r="D42" s="64" t="str">
        <f>IFERROR(__xludf.DUMMYFUNCTION("""COMPUTED_VALUE"""),"05/04/2025")</f>
        <v>05/04/2025</v>
      </c>
      <c r="E42" s="34" t="str">
        <f>IFERROR(__xludf.DUMMYFUNCTION("""COMPUTED_VALUE"""),"005******94")</f>
        <v>005******94</v>
      </c>
      <c r="F42" s="34" t="str">
        <f>IFERROR(__xludf.DUMMYFUNCTION("""COMPUTED_VALUE"""),"INFANTIL 1")</f>
        <v>INFANTIL 1</v>
      </c>
      <c r="G42" s="65" t="str">
        <f>IFERROR(__xludf.DUMMYFUNCTION("""COMPUTED_VALUE"""),"CEMEI PROFESSORA LINDOMAR DOMINGOS DA SILVA ANJOS")</f>
        <v>CEMEI PROFESSORA LINDOMAR DOMINGOS DA SILVA ANJOS</v>
      </c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</row>
    <row r="43" ht="15.75" customHeight="1" spans="1:24">
      <c r="A43" s="62" t="str">
        <f>IFERROR(__xludf.DUMMYFUNCTION("""COMPUTED_VALUE"""),"04/03/2026 10:32:01")</f>
        <v>04/03/2026 10:32:01</v>
      </c>
      <c r="B43" s="63" t="str">
        <f>IFERROR(__xludf.DUMMYFUNCTION("""COMPUTED_VALUE"""),"17")</f>
        <v>17</v>
      </c>
      <c r="C43" s="34" t="str">
        <f>IFERROR(__xludf.DUMMYFUNCTION("""COMPUTED_VALUE"""),"N. D. M. D. S")</f>
        <v>N. D. M. D. S</v>
      </c>
      <c r="D43" s="85" t="str">
        <f>IFERROR(__xludf.DUMMYFUNCTION("""COMPUTED_VALUE"""),"21/05/2025")</f>
        <v>21/05/2025</v>
      </c>
      <c r="E43" s="34" t="str">
        <f>IFERROR(__xludf.DUMMYFUNCTION("""COMPUTED_VALUE"""),"006******45")</f>
        <v>006******45</v>
      </c>
      <c r="F43" s="34" t="str">
        <f>IFERROR(__xludf.DUMMYFUNCTION("""COMPUTED_VALUE"""),"INFANTIL 1")</f>
        <v>INFANTIL 1</v>
      </c>
      <c r="G43" s="65" t="str">
        <f>IFERROR(__xludf.DUMMYFUNCTION("""COMPUTED_VALUE"""),"CEMEI PROFESSORA LINDOMAR DOMINGOS DA SILVA ANJOS")</f>
        <v>CEMEI PROFESSORA LINDOMAR DOMINGOS DA SILVA ANJOS</v>
      </c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</row>
    <row r="44" ht="15.75" customHeight="1" spans="1:24">
      <c r="A44" s="62" t="str">
        <f>IFERROR(__xludf.DUMMYFUNCTION("""COMPUTED_VALUE"""),"23/03/2026 12:35:29")</f>
        <v>23/03/2026 12:35:29</v>
      </c>
      <c r="B44" s="63" t="str">
        <f>IFERROR(__xludf.DUMMYFUNCTION("""COMPUTED_VALUE"""),"18")</f>
        <v>18</v>
      </c>
      <c r="C44" s="34" t="str">
        <f>IFERROR(__xludf.DUMMYFUNCTION("""COMPUTED_VALUE"""),"R. G. D. R. P")</f>
        <v>R. G. D. R. P</v>
      </c>
      <c r="D44" s="64" t="str">
        <f>IFERROR(__xludf.DUMMYFUNCTION("""COMPUTED_VALUE"""),"07/11/2025")</f>
        <v>07/11/2025</v>
      </c>
      <c r="E44" s="34" t="str">
        <f>IFERROR(__xludf.DUMMYFUNCTION("""COMPUTED_VALUE"""),"022******15")</f>
        <v>022******15</v>
      </c>
      <c r="F44" s="34" t="str">
        <f>IFERROR(__xludf.DUMMYFUNCTION("""COMPUTED_VALUE"""),"INFANTIL 1")</f>
        <v>INFANTIL 1</v>
      </c>
      <c r="G44" s="65" t="str">
        <f>IFERROR(__xludf.DUMMYFUNCTION("""COMPUTED_VALUE"""),"CEMEI PROFESSORA LINDOMAR DOMINGOS DA SILVA ANJOS")</f>
        <v>CEMEI PROFESSORA LINDOMAR DOMINGOS DA SILVA ANJOS</v>
      </c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</row>
    <row r="45" ht="15.75" customHeight="1" spans="1:24">
      <c r="A45" s="62" t="str">
        <f>IFERROR(__xludf.DUMMYFUNCTION("""COMPUTED_VALUE"""),"30/03/2026 09:26:51")</f>
        <v>30/03/2026 09:26:51</v>
      </c>
      <c r="B45" s="63" t="str">
        <f>IFERROR(__xludf.DUMMYFUNCTION("""COMPUTED_VALUE"""),"19")</f>
        <v>19</v>
      </c>
      <c r="C45" s="34" t="str">
        <f>IFERROR(__xludf.DUMMYFUNCTION("""COMPUTED_VALUE"""),"F. C. M")</f>
        <v>F. C. M</v>
      </c>
      <c r="D45" s="64" t="str">
        <f>IFERROR(__xludf.DUMMYFUNCTION("""COMPUTED_VALUE"""),"26/11/2025")</f>
        <v>26/11/2025</v>
      </c>
      <c r="E45" s="34" t="str">
        <f>IFERROR(__xludf.DUMMYFUNCTION("""COMPUTED_VALUE"""),"027******72")</f>
        <v>027******72</v>
      </c>
      <c r="F45" s="34" t="str">
        <f>IFERROR(__xludf.DUMMYFUNCTION("""COMPUTED_VALUE"""),"INFANTIL 1")</f>
        <v>INFANTIL 1</v>
      </c>
      <c r="G45" s="65" t="str">
        <f>IFERROR(__xludf.DUMMYFUNCTION("""COMPUTED_VALUE"""),"CEMEI PROFESSORA LINDOMAR DOMINGOS DA SILVA ANJOS")</f>
        <v>CEMEI PROFESSORA LINDOMAR DOMINGOS DA SILVA ANJOS</v>
      </c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</row>
    <row r="46" ht="15.75" customHeight="1" spans="1:24">
      <c r="A46" s="62" t="str">
        <f>IFERROR(__xludf.DUMMYFUNCTION("""COMPUTED_VALUE"""),"01/04/2026 11:07:18")</f>
        <v>01/04/2026 11:07:18</v>
      </c>
      <c r="B46" s="63" t="str">
        <f>IFERROR(__xludf.DUMMYFUNCTION("""COMPUTED_VALUE"""),"20")</f>
        <v>20</v>
      </c>
      <c r="C46" s="34" t="str">
        <f>IFERROR(__xludf.DUMMYFUNCTION("""COMPUTED_VALUE"""),"M. I. S. S")</f>
        <v>M. I. S. S</v>
      </c>
      <c r="D46" s="85" t="str">
        <f>IFERROR(__xludf.DUMMYFUNCTION("""COMPUTED_VALUE"""),"03/09/2024")</f>
        <v>03/09/2024</v>
      </c>
      <c r="E46" s="34" t="str">
        <f>IFERROR(__xludf.DUMMYFUNCTION("""COMPUTED_VALUE"""),"054******71")</f>
        <v>054******71</v>
      </c>
      <c r="F46" s="34" t="str">
        <f>IFERROR(__xludf.DUMMYFUNCTION("""COMPUTED_VALUE"""),"INFANTIL 1")</f>
        <v>INFANTIL 1</v>
      </c>
      <c r="G46" s="65" t="str">
        <f>IFERROR(__xludf.DUMMYFUNCTION("""COMPUTED_VALUE"""),"CEMEI PROFESSORA LINDOMAR DOMINGOS DA SILVA ANJOS")</f>
        <v>CEMEI PROFESSORA LINDOMAR DOMINGOS DA SILVA ANJOS</v>
      </c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</row>
    <row r="47" ht="15.75" customHeight="1" spans="1:24">
      <c r="A47" s="62" t="str">
        <f>IFERROR(__xludf.DUMMYFUNCTION("""COMPUTED_VALUE"""),"08/04/2026 16:32:34")</f>
        <v>08/04/2026 16:32:34</v>
      </c>
      <c r="B47" s="63" t="str">
        <f>IFERROR(__xludf.DUMMYFUNCTION("""COMPUTED_VALUE"""),"21")</f>
        <v>21</v>
      </c>
      <c r="C47" s="34" t="str">
        <f>IFERROR(__xludf.DUMMYFUNCTION("""COMPUTED_VALUE"""),"M. B. M. A")</f>
        <v>M. B. M. A</v>
      </c>
      <c r="D47" s="64" t="str">
        <f>IFERROR(__xludf.DUMMYFUNCTION("""COMPUTED_VALUE"""),"01/04/2025")</f>
        <v>01/04/2025</v>
      </c>
      <c r="E47" s="34" t="str">
        <f>IFERROR(__xludf.DUMMYFUNCTION("""COMPUTED_VALUE"""),"005******85")</f>
        <v>005******85</v>
      </c>
      <c r="F47" s="34" t="str">
        <f>IFERROR(__xludf.DUMMYFUNCTION("""COMPUTED_VALUE"""),"INFANTIL 1")</f>
        <v>INFANTIL 1</v>
      </c>
      <c r="G47" s="65" t="str">
        <f>IFERROR(__xludf.DUMMYFUNCTION("""COMPUTED_VALUE"""),"CEMEI PROFESSORA LINDOMAR DOMINGOS DA SILVA ANJOS")</f>
        <v>CEMEI PROFESSORA LINDOMAR DOMINGOS DA SILVA ANJOS</v>
      </c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</row>
    <row r="48" ht="15.75" customHeight="1" spans="1:24">
      <c r="A48" s="62" t="str">
        <f>IFERROR(__xludf.DUMMYFUNCTION("""COMPUTED_VALUE"""),"15/04/2026 13:07:53")</f>
        <v>15/04/2026 13:07:53</v>
      </c>
      <c r="B48" s="63" t="str">
        <f>IFERROR(__xludf.DUMMYFUNCTION("""COMPUTED_VALUE"""),"22")</f>
        <v>22</v>
      </c>
      <c r="C48" s="34" t="str">
        <f>IFERROR(__xludf.DUMMYFUNCTION("""COMPUTED_VALUE"""),"H. R. M")</f>
        <v>H. R. M</v>
      </c>
      <c r="D48" s="85" t="str">
        <f>IFERROR(__xludf.DUMMYFUNCTION("""COMPUTED_VALUE"""),"30/08/2025")</f>
        <v>30/08/2025</v>
      </c>
      <c r="E48" s="34" t="str">
        <f>IFERROR(__xludf.DUMMYFUNCTION("""COMPUTED_VALUE"""),"007******44")</f>
        <v>007******44</v>
      </c>
      <c r="F48" s="34" t="str">
        <f>IFERROR(__xludf.DUMMYFUNCTION("""COMPUTED_VALUE"""),"INFANTIL 1")</f>
        <v>INFANTIL 1</v>
      </c>
      <c r="G48" s="65" t="str">
        <f>IFERROR(__xludf.DUMMYFUNCTION("""COMPUTED_VALUE"""),"CEMEI PROFESSORA LINDOMAR DOMINGOS DA SILVA ANJOS")</f>
        <v>CEMEI PROFESSORA LINDOMAR DOMINGOS DA SILVA ANJOS</v>
      </c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</row>
    <row r="49" ht="15.75" customHeight="1" spans="1:24">
      <c r="A49" s="62" t="str">
        <f>IFERROR(__xludf.DUMMYFUNCTION("""COMPUTED_VALUE"""),"04/05/2026 10:11:49")</f>
        <v>04/05/2026 10:11:49</v>
      </c>
      <c r="B49" s="63" t="str">
        <f>IFERROR(__xludf.DUMMYFUNCTION("""COMPUTED_VALUE"""),"23")</f>
        <v>23</v>
      </c>
      <c r="C49" s="34" t="str">
        <f>IFERROR(__xludf.DUMMYFUNCTION("""COMPUTED_VALUE"""),"M. A. D. A. E")</f>
        <v>M. A. D. A. E</v>
      </c>
      <c r="D49" s="85" t="str">
        <f>IFERROR(__xludf.DUMMYFUNCTION("""COMPUTED_VALUE"""),"11/03/2025")</f>
        <v>11/03/2025</v>
      </c>
      <c r="E49" s="34" t="str">
        <f>IFERROR(__xludf.DUMMYFUNCTION("""COMPUTED_VALUE"""),"005******59")</f>
        <v>005******59</v>
      </c>
      <c r="F49" s="34" t="str">
        <f>IFERROR(__xludf.DUMMYFUNCTION("""COMPUTED_VALUE"""),"INFANTIL 1")</f>
        <v>INFANTIL 1</v>
      </c>
      <c r="G49" s="65" t="str">
        <f>IFERROR(__xludf.DUMMYFUNCTION("""COMPUTED_VALUE"""),"CEMEI PROFESSORA LINDOMAR DOMINGOS DA SILVA ANJOS")</f>
        <v>CEMEI PROFESSORA LINDOMAR DOMINGOS DA SILVA ANJOS</v>
      </c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</row>
    <row r="50" ht="15.75" customHeight="1" spans="1:24">
      <c r="A50" s="62" t="str">
        <f>IFERROR(__xludf.DUMMYFUNCTION("""COMPUTED_VALUE"""),"15/05/2026 11:54:29")</f>
        <v>15/05/2026 11:54:29</v>
      </c>
      <c r="B50" s="63" t="str">
        <f>IFERROR(__xludf.DUMMYFUNCTION("""COMPUTED_VALUE"""),"24")</f>
        <v>24</v>
      </c>
      <c r="C50" s="34" t="str">
        <f>IFERROR(__xludf.DUMMYFUNCTION("""COMPUTED_VALUE"""),"A. M. S. D. S")</f>
        <v>A. M. S. D. S</v>
      </c>
      <c r="D50" s="64" t="str">
        <f>IFERROR(__xludf.DUMMYFUNCTION("""COMPUTED_VALUE"""),"10/09/2024")</f>
        <v>10/09/2024</v>
      </c>
      <c r="E50" s="34" t="str">
        <f>IFERROR(__xludf.DUMMYFUNCTION("""COMPUTED_VALUE"""),"004******58")</f>
        <v>004******58</v>
      </c>
      <c r="F50" s="34" t="str">
        <f>IFERROR(__xludf.DUMMYFUNCTION("""COMPUTED_VALUE"""),"INFANTIL 1")</f>
        <v>INFANTIL 1</v>
      </c>
      <c r="G50" s="65" t="str">
        <f>IFERROR(__xludf.DUMMYFUNCTION("""COMPUTED_VALUE"""),"CEMEI PROFESSORA LINDOMAR DOMINGOS DA SILVA ANJOS")</f>
        <v>CEMEI PROFESSORA LINDOMAR DOMINGOS DA SILVA ANJOS</v>
      </c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</row>
    <row r="51" ht="15.75" customHeight="1" spans="1:24">
      <c r="A51" s="62" t="str">
        <f>IFERROR(__xludf.DUMMYFUNCTION("""COMPUTED_VALUE"""),"15/05/2026 12:03:27")</f>
        <v>15/05/2026 12:03:27</v>
      </c>
      <c r="B51" s="63" t="str">
        <f>IFERROR(__xludf.DUMMYFUNCTION("""COMPUTED_VALUE"""),"25")</f>
        <v>25</v>
      </c>
      <c r="C51" s="34" t="str">
        <f>IFERROR(__xludf.DUMMYFUNCTION("""COMPUTED_VALUE"""),"A. K. S. D. S")</f>
        <v>A. K. S. D. S</v>
      </c>
      <c r="D51" s="64" t="str">
        <f>IFERROR(__xludf.DUMMYFUNCTION("""COMPUTED_VALUE"""),"10/09/2024")</f>
        <v>10/09/2024</v>
      </c>
      <c r="E51" s="34" t="str">
        <f>IFERROR(__xludf.DUMMYFUNCTION("""COMPUTED_VALUE"""),"004******02")</f>
        <v>004******02</v>
      </c>
      <c r="F51" s="34" t="str">
        <f>IFERROR(__xludf.DUMMYFUNCTION("""COMPUTED_VALUE"""),"INFANTIL 1")</f>
        <v>INFANTIL 1</v>
      </c>
      <c r="G51" s="65" t="str">
        <f>IFERROR(__xludf.DUMMYFUNCTION("""COMPUTED_VALUE"""),"CEMEI PROFESSORA LINDOMAR DOMINGOS DA SILVA ANJOS")</f>
        <v>CEMEI PROFESSORA LINDOMAR DOMINGOS DA SILVA ANJOS</v>
      </c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</row>
    <row r="52" ht="15.75" customHeight="1" spans="1:24">
      <c r="A52" s="62" t="str">
        <f>IFERROR(__xludf.DUMMYFUNCTION("""COMPUTED_VALUE"""),"30/05/2026 11:24:31")</f>
        <v>30/05/2026 11:24:31</v>
      </c>
      <c r="B52" s="63" t="str">
        <f>IFERROR(__xludf.DUMMYFUNCTION("""COMPUTED_VALUE"""),"26")</f>
        <v>26</v>
      </c>
      <c r="C52" s="34" t="str">
        <f>IFERROR(__xludf.DUMMYFUNCTION("""COMPUTED_VALUE"""),"N. R. F. d. S")</f>
        <v>N. R. F. d. S</v>
      </c>
      <c r="D52" s="85" t="str">
        <f>IFERROR(__xludf.DUMMYFUNCTION("""COMPUTED_VALUE"""),"10/10/2024")</f>
        <v>10/10/2024</v>
      </c>
      <c r="E52" s="34" t="str">
        <f>IFERROR(__xludf.DUMMYFUNCTION("""COMPUTED_VALUE"""),"004******85")</f>
        <v>004******85</v>
      </c>
      <c r="F52" s="34" t="str">
        <f>IFERROR(__xludf.DUMMYFUNCTION("""COMPUTED_VALUE"""),"INFANTIL 1")</f>
        <v>INFANTIL 1</v>
      </c>
      <c r="G52" s="65" t="str">
        <f>IFERROR(__xludf.DUMMYFUNCTION("""COMPUTED_VALUE"""),"CEMEI PROFESSORA LINDOMAR DOMINGOS DA SILVA ANJOS")</f>
        <v>CEMEI PROFESSORA LINDOMAR DOMINGOS DA SILVA ANJOS</v>
      </c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</row>
    <row r="53" ht="15.75" customHeight="1" spans="1:24">
      <c r="A53" s="62" t="str">
        <f>IFERROR(__xludf.DUMMYFUNCTION("""COMPUTED_VALUE"""),"28/01/2026 08:06:54")</f>
        <v>28/01/2026 08:06:54</v>
      </c>
      <c r="B53" s="63" t="str">
        <f>IFERROR(__xludf.DUMMYFUNCTION("""COMPUTED_VALUE"""),"1")</f>
        <v>1</v>
      </c>
      <c r="C53" s="34" t="str">
        <f>IFERROR(__xludf.DUMMYFUNCTION("""COMPUTED_VALUE"""),"A. M. F. L")</f>
        <v>A. M. F. L</v>
      </c>
      <c r="D53" s="64" t="str">
        <f>IFERROR(__xludf.DUMMYFUNCTION("""COMPUTED_VALUE"""),"06/04/2023")</f>
        <v>06/04/2023</v>
      </c>
      <c r="E53" s="34" t="str">
        <f>IFERROR(__xludf.DUMMYFUNCTION("""COMPUTED_VALUE"""),"185******07")</f>
        <v>185******07</v>
      </c>
      <c r="F53" s="34" t="str">
        <f>IFERROR(__xludf.DUMMYFUNCTION("""COMPUTED_VALUE"""),"INFANTIL 2")</f>
        <v>INFANTIL 2</v>
      </c>
      <c r="G53" s="65" t="str">
        <f>IFERROR(__xludf.DUMMYFUNCTION("""COMPUTED_VALUE"""),"CEMEI PROFESSORA LINDOMAR DOMINGOS DA SILVA ANJOS")</f>
        <v>CEMEI PROFESSORA LINDOMAR DOMINGOS DA SILVA ANJOS</v>
      </c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</row>
    <row r="54" ht="15.75" customHeight="1" spans="1:24">
      <c r="A54" s="62" t="str">
        <f>IFERROR(__xludf.DUMMYFUNCTION("""COMPUTED_VALUE"""),"28/01/2026 08:08:24")</f>
        <v>28/01/2026 08:08:24</v>
      </c>
      <c r="B54" s="63" t="str">
        <f>IFERROR(__xludf.DUMMYFUNCTION("""COMPUTED_VALUE"""),"2")</f>
        <v>2</v>
      </c>
      <c r="C54" s="34" t="str">
        <f>IFERROR(__xludf.DUMMYFUNCTION("""COMPUTED_VALUE"""),"M. O. F. C")</f>
        <v>M. O. F. C</v>
      </c>
      <c r="D54" s="85" t="str">
        <f>IFERROR(__xludf.DUMMYFUNCTION("""COMPUTED_VALUE"""),"23/07/2023")</f>
        <v>23/07/2023</v>
      </c>
      <c r="E54" s="34" t="str">
        <f>IFERROR(__xludf.DUMMYFUNCTION("""COMPUTED_VALUE"""),"186******04")</f>
        <v>186******04</v>
      </c>
      <c r="F54" s="34" t="str">
        <f>IFERROR(__xludf.DUMMYFUNCTION("""COMPUTED_VALUE"""),"INFANTIL 2")</f>
        <v>INFANTIL 2</v>
      </c>
      <c r="G54" s="65" t="str">
        <f>IFERROR(__xludf.DUMMYFUNCTION("""COMPUTED_VALUE"""),"CEMEI PROFESSORA LINDOMAR DOMINGOS DA SILVA ANJOS")</f>
        <v>CEMEI PROFESSORA LINDOMAR DOMINGOS DA SILVA ANJOS</v>
      </c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</row>
    <row r="55" ht="15.75" customHeight="1" spans="1:24">
      <c r="A55" s="62" t="str">
        <f>IFERROR(__xludf.DUMMYFUNCTION("""COMPUTED_VALUE"""),"28/01/2026 08:14:44")</f>
        <v>28/01/2026 08:14:44</v>
      </c>
      <c r="B55" s="63" t="str">
        <f>IFERROR(__xludf.DUMMYFUNCTION("""COMPUTED_VALUE"""),"3")</f>
        <v>3</v>
      </c>
      <c r="C55" s="34" t="str">
        <f>IFERROR(__xludf.DUMMYFUNCTION("""COMPUTED_VALUE"""),"S. B. C. R. D. S")</f>
        <v>S. B. C. R. D. S</v>
      </c>
      <c r="D55" s="64" t="str">
        <f>IFERROR(__xludf.DUMMYFUNCTION("""COMPUTED_VALUE"""),"07/06/2023")</f>
        <v>07/06/2023</v>
      </c>
      <c r="E55" s="34" t="str">
        <f>IFERROR(__xludf.DUMMYFUNCTION("""COMPUTED_VALUE"""),"185******06")</f>
        <v>185******06</v>
      </c>
      <c r="F55" s="34" t="str">
        <f>IFERROR(__xludf.DUMMYFUNCTION("""COMPUTED_VALUE"""),"INFANTIL 2")</f>
        <v>INFANTIL 2</v>
      </c>
      <c r="G55" s="65" t="str">
        <f>IFERROR(__xludf.DUMMYFUNCTION("""COMPUTED_VALUE"""),"CEMEI PROFESSORA LINDOMAR DOMINGOS DA SILVA ANJOS")</f>
        <v>CEMEI PROFESSORA LINDOMAR DOMINGOS DA SILVA ANJOS</v>
      </c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</row>
    <row r="56" ht="15.75" customHeight="1" spans="1:24">
      <c r="A56" s="62" t="str">
        <f>IFERROR(__xludf.DUMMYFUNCTION("""COMPUTED_VALUE"""),"28/01/2026 08:17:19")</f>
        <v>28/01/2026 08:17:19</v>
      </c>
      <c r="B56" s="63" t="str">
        <f>IFERROR(__xludf.DUMMYFUNCTION("""COMPUTED_VALUE"""),"4")</f>
        <v>4</v>
      </c>
      <c r="C56" s="34" t="str">
        <f>IFERROR(__xludf.DUMMYFUNCTION("""COMPUTED_VALUE"""),"L. M. T. S")</f>
        <v>L. M. T. S</v>
      </c>
      <c r="D56" s="64" t="str">
        <f>IFERROR(__xludf.DUMMYFUNCTION("""COMPUTED_VALUE"""),"18/02/2024")</f>
        <v>18/02/2024</v>
      </c>
      <c r="E56" s="34" t="str">
        <f>IFERROR(__xludf.DUMMYFUNCTION("""COMPUTED_VALUE"""),"002******11")</f>
        <v>002******11</v>
      </c>
      <c r="F56" s="34" t="str">
        <f>IFERROR(__xludf.DUMMYFUNCTION("""COMPUTED_VALUE"""),"INFANTIL 2")</f>
        <v>INFANTIL 2</v>
      </c>
      <c r="G56" s="65" t="str">
        <f>IFERROR(__xludf.DUMMYFUNCTION("""COMPUTED_VALUE"""),"CEMEI PROFESSORA LINDOMAR DOMINGOS DA SILVA ANJOS")</f>
        <v>CEMEI PROFESSORA LINDOMAR DOMINGOS DA SILVA ANJOS</v>
      </c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</row>
    <row r="57" ht="15.75" customHeight="1" spans="1:24">
      <c r="A57" s="62" t="str">
        <f>IFERROR(__xludf.DUMMYFUNCTION("""COMPUTED_VALUE"""),"28/01/2026 08:25:56")</f>
        <v>28/01/2026 08:25:56</v>
      </c>
      <c r="B57" s="63" t="str">
        <f>IFERROR(__xludf.DUMMYFUNCTION("""COMPUTED_VALUE"""),"5")</f>
        <v>5</v>
      </c>
      <c r="C57" s="34" t="str">
        <f>IFERROR(__xludf.DUMMYFUNCTION("""COMPUTED_VALUE"""),"M. G. D. S. P. A")</f>
        <v>M. G. D. S. P. A</v>
      </c>
      <c r="D57" s="64" t="str">
        <f>IFERROR(__xludf.DUMMYFUNCTION("""COMPUTED_VALUE"""),"15/05/2023")</f>
        <v>15/05/2023</v>
      </c>
      <c r="E57" s="34" t="str">
        <f>IFERROR(__xludf.DUMMYFUNCTION("""COMPUTED_VALUE"""),"185******33")</f>
        <v>185******33</v>
      </c>
      <c r="F57" s="34" t="str">
        <f>IFERROR(__xludf.DUMMYFUNCTION("""COMPUTED_VALUE"""),"INFANTIL 2")</f>
        <v>INFANTIL 2</v>
      </c>
      <c r="G57" s="65" t="str">
        <f>IFERROR(__xludf.DUMMYFUNCTION("""COMPUTED_VALUE"""),"CEMEI PROFESSORA LINDOMAR DOMINGOS DA SILVA ANJOS")</f>
        <v>CEMEI PROFESSORA LINDOMAR DOMINGOS DA SILVA ANJOS</v>
      </c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</row>
    <row r="58" ht="15.75" customHeight="1" spans="1:24">
      <c r="A58" s="62" t="str">
        <f>IFERROR(__xludf.DUMMYFUNCTION("""COMPUTED_VALUE"""),"28/01/2026 08:25:59")</f>
        <v>28/01/2026 08:25:59</v>
      </c>
      <c r="B58" s="63" t="str">
        <f>IFERROR(__xludf.DUMMYFUNCTION("""COMPUTED_VALUE"""),"6")</f>
        <v>6</v>
      </c>
      <c r="C58" s="34" t="str">
        <f>IFERROR(__xludf.DUMMYFUNCTION("""COMPUTED_VALUE"""),"E. B. S")</f>
        <v>E. B. S</v>
      </c>
      <c r="D58" s="64" t="str">
        <f>IFERROR(__xludf.DUMMYFUNCTION("""COMPUTED_VALUE"""),"12/12/2023")</f>
        <v>12/12/2023</v>
      </c>
      <c r="E58" s="34" t="str">
        <f>IFERROR(__xludf.DUMMYFUNCTION("""COMPUTED_VALUE"""),"002******25")</f>
        <v>002******25</v>
      </c>
      <c r="F58" s="34" t="str">
        <f>IFERROR(__xludf.DUMMYFUNCTION("""COMPUTED_VALUE"""),"INFANTIL 2")</f>
        <v>INFANTIL 2</v>
      </c>
      <c r="G58" s="65" t="str">
        <f>IFERROR(__xludf.DUMMYFUNCTION("""COMPUTED_VALUE"""),"CEMEI PROFESSORA LINDOMAR DOMINGOS DA SILVA ANJOS")</f>
        <v>CEMEI PROFESSORA LINDOMAR DOMINGOS DA SILVA ANJOS</v>
      </c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</row>
    <row r="59" ht="15.75" customHeight="1" spans="1:24">
      <c r="A59" s="62" t="str">
        <f>IFERROR(__xludf.DUMMYFUNCTION("""COMPUTED_VALUE"""),"28/01/2026 08:31:41")</f>
        <v>28/01/2026 08:31:41</v>
      </c>
      <c r="B59" s="63" t="str">
        <f>IFERROR(__xludf.DUMMYFUNCTION("""COMPUTED_VALUE"""),"7")</f>
        <v>7</v>
      </c>
      <c r="C59" s="34" t="str">
        <f>IFERROR(__xludf.DUMMYFUNCTION("""COMPUTED_VALUE"""),"L. M. S. L")</f>
        <v>L. M. S. L</v>
      </c>
      <c r="D59" s="64" t="str">
        <f>IFERROR(__xludf.DUMMYFUNCTION("""COMPUTED_VALUE"""),"25/01/2024")</f>
        <v>25/01/2024</v>
      </c>
      <c r="E59" s="34" t="str">
        <f>IFERROR(__xludf.DUMMYFUNCTION("""COMPUTED_VALUE"""),"001******03")</f>
        <v>001******03</v>
      </c>
      <c r="F59" s="34" t="str">
        <f>IFERROR(__xludf.DUMMYFUNCTION("""COMPUTED_VALUE"""),"INFANTIL 2")</f>
        <v>INFANTIL 2</v>
      </c>
      <c r="G59" s="65" t="str">
        <f>IFERROR(__xludf.DUMMYFUNCTION("""COMPUTED_VALUE"""),"CEMEI PROFESSORA LINDOMAR DOMINGOS DA SILVA ANJOS")</f>
        <v>CEMEI PROFESSORA LINDOMAR DOMINGOS DA SILVA ANJOS</v>
      </c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</row>
    <row r="60" ht="15.75" customHeight="1" spans="1:24">
      <c r="A60" s="62" t="str">
        <f>IFERROR(__xludf.DUMMYFUNCTION("""COMPUTED_VALUE"""),"28/01/2026 09:00:15")</f>
        <v>28/01/2026 09:00:15</v>
      </c>
      <c r="B60" s="63" t="str">
        <f>IFERROR(__xludf.DUMMYFUNCTION("""COMPUTED_VALUE"""),"8")</f>
        <v>8</v>
      </c>
      <c r="C60" s="34" t="str">
        <f>IFERROR(__xludf.DUMMYFUNCTION("""COMPUTED_VALUE"""),"H. M. C. D. L")</f>
        <v>H. M. C. D. L</v>
      </c>
      <c r="D60" s="64" t="str">
        <f>IFERROR(__xludf.DUMMYFUNCTION("""COMPUTED_VALUE"""),"21/12/2023")</f>
        <v>21/12/2023</v>
      </c>
      <c r="E60" s="34" t="str">
        <f>IFERROR(__xludf.DUMMYFUNCTION("""COMPUTED_VALUE"""),"001******90")</f>
        <v>001******90</v>
      </c>
      <c r="F60" s="34" t="str">
        <f>IFERROR(__xludf.DUMMYFUNCTION("""COMPUTED_VALUE"""),"INFANTIL 2")</f>
        <v>INFANTIL 2</v>
      </c>
      <c r="G60" s="65" t="str">
        <f>IFERROR(__xludf.DUMMYFUNCTION("""COMPUTED_VALUE"""),"CEMEI PROFESSORA LINDOMAR DOMINGOS DA SILVA ANJOS")</f>
        <v>CEMEI PROFESSORA LINDOMAR DOMINGOS DA SILVA ANJOS</v>
      </c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</row>
    <row r="61" ht="15.75" customHeight="1" spans="1:24">
      <c r="A61" s="62" t="str">
        <f>IFERROR(__xludf.DUMMYFUNCTION("""COMPUTED_VALUE"""),"28/01/2026 09:08:41")</f>
        <v>28/01/2026 09:08:41</v>
      </c>
      <c r="B61" s="63" t="str">
        <f>IFERROR(__xludf.DUMMYFUNCTION("""COMPUTED_VALUE"""),"9")</f>
        <v>9</v>
      </c>
      <c r="C61" s="34" t="str">
        <f>IFERROR(__xludf.DUMMYFUNCTION("""COMPUTED_VALUE"""),"T. V. D. S. F")</f>
        <v>T. V. D. S. F</v>
      </c>
      <c r="D61" s="64" t="str">
        <f>IFERROR(__xludf.DUMMYFUNCTION("""COMPUTED_VALUE"""),"04/08/2023")</f>
        <v>04/08/2023</v>
      </c>
      <c r="E61" s="34" t="str">
        <f>IFERROR(__xludf.DUMMYFUNCTION("""COMPUTED_VALUE"""),"186******21")</f>
        <v>186******21</v>
      </c>
      <c r="F61" s="34" t="str">
        <f>IFERROR(__xludf.DUMMYFUNCTION("""COMPUTED_VALUE"""),"INFANTIL 2")</f>
        <v>INFANTIL 2</v>
      </c>
      <c r="G61" s="65" t="str">
        <f>IFERROR(__xludf.DUMMYFUNCTION("""COMPUTED_VALUE"""),"CEMEI PROFESSORA LINDOMAR DOMINGOS DA SILVA ANJOS")</f>
        <v>CEMEI PROFESSORA LINDOMAR DOMINGOS DA SILVA ANJOS</v>
      </c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</row>
    <row r="62" ht="15.75" customHeight="1" spans="1:24">
      <c r="A62" s="62" t="str">
        <f>IFERROR(__xludf.DUMMYFUNCTION("""COMPUTED_VALUE"""),"28/01/2026 09:29:37")</f>
        <v>28/01/2026 09:29:37</v>
      </c>
      <c r="B62" s="63" t="str">
        <f>IFERROR(__xludf.DUMMYFUNCTION("""COMPUTED_VALUE"""),"10")</f>
        <v>10</v>
      </c>
      <c r="C62" s="34" t="str">
        <f>IFERROR(__xludf.DUMMYFUNCTION("""COMPUTED_VALUE"""),"M. F. D. S")</f>
        <v>M. F. D. S</v>
      </c>
      <c r="D62" s="64" t="str">
        <f>IFERROR(__xludf.DUMMYFUNCTION("""COMPUTED_VALUE"""),"30/12/2023")</f>
        <v>30/12/2023</v>
      </c>
      <c r="E62" s="34" t="str">
        <f>IFERROR(__xludf.DUMMYFUNCTION("""COMPUTED_VALUE"""),"001******28")</f>
        <v>001******28</v>
      </c>
      <c r="F62" s="34" t="str">
        <f>IFERROR(__xludf.DUMMYFUNCTION("""COMPUTED_VALUE"""),"INFANTIL 2")</f>
        <v>INFANTIL 2</v>
      </c>
      <c r="G62" s="65" t="str">
        <f>IFERROR(__xludf.DUMMYFUNCTION("""COMPUTED_VALUE"""),"CEMEI PROFESSORA LINDOMAR DOMINGOS DA SILVA ANJOS")</f>
        <v>CEMEI PROFESSORA LINDOMAR DOMINGOS DA SILVA ANJOS</v>
      </c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</row>
    <row r="63" ht="15.75" customHeight="1" spans="1:24">
      <c r="A63" s="62" t="str">
        <f>IFERROR(__xludf.DUMMYFUNCTION("""COMPUTED_VALUE"""),"28/01/2026 10:56:41")</f>
        <v>28/01/2026 10:56:41</v>
      </c>
      <c r="B63" s="63" t="str">
        <f>IFERROR(__xludf.DUMMYFUNCTION("""COMPUTED_VALUE"""),"11")</f>
        <v>11</v>
      </c>
      <c r="C63" s="34" t="str">
        <f>IFERROR(__xludf.DUMMYFUNCTION("""COMPUTED_VALUE"""),"Y. S. R")</f>
        <v>Y. S. R</v>
      </c>
      <c r="D63" s="64" t="str">
        <f>IFERROR(__xludf.DUMMYFUNCTION("""COMPUTED_VALUE"""),"11/10/2023")</f>
        <v>11/10/2023</v>
      </c>
      <c r="E63" s="34" t="str">
        <f>IFERROR(__xludf.DUMMYFUNCTION("""COMPUTED_VALUE"""),"000******55")</f>
        <v>000******55</v>
      </c>
      <c r="F63" s="34" t="str">
        <f>IFERROR(__xludf.DUMMYFUNCTION("""COMPUTED_VALUE"""),"INFANTIL 2")</f>
        <v>INFANTIL 2</v>
      </c>
      <c r="G63" s="65" t="str">
        <f>IFERROR(__xludf.DUMMYFUNCTION("""COMPUTED_VALUE"""),"CEMEI PROFESSORA LINDOMAR DOMINGOS DA SILVA ANJOS")</f>
        <v>CEMEI PROFESSORA LINDOMAR DOMINGOS DA SILVA ANJOS</v>
      </c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</row>
    <row r="64" ht="15.75" customHeight="1" spans="1:24">
      <c r="A64" s="62" t="str">
        <f>IFERROR(__xludf.DUMMYFUNCTION("""COMPUTED_VALUE"""),"28/01/2026 11:08:50")</f>
        <v>28/01/2026 11:08:50</v>
      </c>
      <c r="B64" s="63" t="str">
        <f>IFERROR(__xludf.DUMMYFUNCTION("""COMPUTED_VALUE"""),"12")</f>
        <v>12</v>
      </c>
      <c r="C64" s="34" t="str">
        <f>IFERROR(__xludf.DUMMYFUNCTION("""COMPUTED_VALUE"""),"A. V")</f>
        <v>A. V</v>
      </c>
      <c r="D64" s="64" t="str">
        <f>IFERROR(__xludf.DUMMYFUNCTION("""COMPUTED_VALUE"""),"28/07/2023")</f>
        <v>28/07/2023</v>
      </c>
      <c r="E64" s="34" t="str">
        <f>IFERROR(__xludf.DUMMYFUNCTION("""COMPUTED_VALUE"""),"157******62")</f>
        <v>157******62</v>
      </c>
      <c r="F64" s="34" t="str">
        <f>IFERROR(__xludf.DUMMYFUNCTION("""COMPUTED_VALUE"""),"INFANTIL 2")</f>
        <v>INFANTIL 2</v>
      </c>
      <c r="G64" s="65" t="str">
        <f>IFERROR(__xludf.DUMMYFUNCTION("""COMPUTED_VALUE"""),"CEMEI PROFESSORA LINDOMAR DOMINGOS DA SILVA ANJOS")</f>
        <v>CEMEI PROFESSORA LINDOMAR DOMINGOS DA SILVA ANJOS</v>
      </c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</row>
    <row r="65" ht="15.75" customHeight="1" spans="1:24">
      <c r="A65" s="62" t="str">
        <f>IFERROR(__xludf.DUMMYFUNCTION("""COMPUTED_VALUE"""),"28/01/2026 12:27:56")</f>
        <v>28/01/2026 12:27:56</v>
      </c>
      <c r="B65" s="63" t="str">
        <f>IFERROR(__xludf.DUMMYFUNCTION("""COMPUTED_VALUE"""),"13")</f>
        <v>13</v>
      </c>
      <c r="C65" s="34" t="str">
        <f>IFERROR(__xludf.DUMMYFUNCTION("""COMPUTED_VALUE"""),"M. M. D. S. C")</f>
        <v>M. M. D. S. C</v>
      </c>
      <c r="D65" s="85" t="str">
        <f>IFERROR(__xludf.DUMMYFUNCTION("""COMPUTED_VALUE"""),"10/06/2023")</f>
        <v>10/06/2023</v>
      </c>
      <c r="E65" s="34" t="str">
        <f>IFERROR(__xludf.DUMMYFUNCTION("""COMPUTED_VALUE"""),"185******70")</f>
        <v>185******70</v>
      </c>
      <c r="F65" s="34" t="str">
        <f>IFERROR(__xludf.DUMMYFUNCTION("""COMPUTED_VALUE"""),"INFANTIL 2")</f>
        <v>INFANTIL 2</v>
      </c>
      <c r="G65" s="65" t="str">
        <f>IFERROR(__xludf.DUMMYFUNCTION("""COMPUTED_VALUE"""),"CEMEI PROFESSORA LINDOMAR DOMINGOS DA SILVA ANJOS")</f>
        <v>CEMEI PROFESSORA LINDOMAR DOMINGOS DA SILVA ANJOS</v>
      </c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</row>
    <row r="66" ht="15.75" customHeight="1" spans="1:24">
      <c r="A66" s="62" t="str">
        <f>IFERROR(__xludf.DUMMYFUNCTION("""COMPUTED_VALUE"""),"29/01/2026 09:34:00")</f>
        <v>29/01/2026 09:34:00</v>
      </c>
      <c r="B66" s="63" t="str">
        <f>IFERROR(__xludf.DUMMYFUNCTION("""COMPUTED_VALUE"""),"14")</f>
        <v>14</v>
      </c>
      <c r="C66" s="34" t="str">
        <f>IFERROR(__xludf.DUMMYFUNCTION("""COMPUTED_VALUE"""),"L. S. O. D. A")</f>
        <v>L. S. O. D. A</v>
      </c>
      <c r="D66" s="85" t="str">
        <f>IFERROR(__xludf.DUMMYFUNCTION("""COMPUTED_VALUE"""),"13/12/2023")</f>
        <v>13/12/2023</v>
      </c>
      <c r="E66" s="34" t="str">
        <f>IFERROR(__xludf.DUMMYFUNCTION("""COMPUTED_VALUE"""),"002******11")</f>
        <v>002******11</v>
      </c>
      <c r="F66" s="34" t="str">
        <f>IFERROR(__xludf.DUMMYFUNCTION("""COMPUTED_VALUE"""),"INFANTIL 2")</f>
        <v>INFANTIL 2</v>
      </c>
      <c r="G66" s="65" t="str">
        <f>IFERROR(__xludf.DUMMYFUNCTION("""COMPUTED_VALUE"""),"CEMEI PROFESSORA LINDOMAR DOMINGOS DA SILVA ANJOS")</f>
        <v>CEMEI PROFESSORA LINDOMAR DOMINGOS DA SILVA ANJOS</v>
      </c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</row>
    <row r="67" ht="15.75" customHeight="1" spans="1:24">
      <c r="A67" s="62" t="str">
        <f>IFERROR(__xludf.DUMMYFUNCTION("""COMPUTED_VALUE"""),"29/01/2026 19:07:33")</f>
        <v>29/01/2026 19:07:33</v>
      </c>
      <c r="B67" s="63" t="str">
        <f>IFERROR(__xludf.DUMMYFUNCTION("""COMPUTED_VALUE"""),"15")</f>
        <v>15</v>
      </c>
      <c r="C67" s="34" t="str">
        <f>IFERROR(__xludf.DUMMYFUNCTION("""COMPUTED_VALUE"""),"J. P. A. D. S")</f>
        <v>J. P. A. D. S</v>
      </c>
      <c r="D67" s="64" t="str">
        <f>IFERROR(__xludf.DUMMYFUNCTION("""COMPUTED_VALUE"""),"13/05/2023")</f>
        <v>13/05/2023</v>
      </c>
      <c r="E67" s="34" t="str">
        <f>IFERROR(__xludf.DUMMYFUNCTION("""COMPUTED_VALUE"""),"185******08")</f>
        <v>185******08</v>
      </c>
      <c r="F67" s="34" t="str">
        <f>IFERROR(__xludf.DUMMYFUNCTION("""COMPUTED_VALUE"""),"INFANTIL 2")</f>
        <v>INFANTIL 2</v>
      </c>
      <c r="G67" s="65" t="str">
        <f>IFERROR(__xludf.DUMMYFUNCTION("""COMPUTED_VALUE"""),"CEMEI PROFESSORA LINDOMAR DOMINGOS DA SILVA ANJOS")</f>
        <v>CEMEI PROFESSORA LINDOMAR DOMINGOS DA SILVA ANJOS</v>
      </c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</row>
    <row r="68" ht="15.75" customHeight="1" spans="1:24">
      <c r="A68" s="62" t="str">
        <f>IFERROR(__xludf.DUMMYFUNCTION("""COMPUTED_VALUE"""),"03/02/2026 12:10:55")</f>
        <v>03/02/2026 12:10:55</v>
      </c>
      <c r="B68" s="63" t="str">
        <f>IFERROR(__xludf.DUMMYFUNCTION("""COMPUTED_VALUE"""),"16")</f>
        <v>16</v>
      </c>
      <c r="C68" s="34" t="str">
        <f>IFERROR(__xludf.DUMMYFUNCTION("""COMPUTED_VALUE"""),"E. B. M. F. N")</f>
        <v>E. B. M. F. N</v>
      </c>
      <c r="D68" s="64" t="str">
        <f>IFERROR(__xludf.DUMMYFUNCTION("""COMPUTED_VALUE"""),"11/11/2023")</f>
        <v>11/11/2023</v>
      </c>
      <c r="E68" s="34" t="str">
        <f>IFERROR(__xludf.DUMMYFUNCTION("""COMPUTED_VALUE"""),"001******70")</f>
        <v>001******70</v>
      </c>
      <c r="F68" s="34" t="str">
        <f>IFERROR(__xludf.DUMMYFUNCTION("""COMPUTED_VALUE"""),"INFANTIL 2")</f>
        <v>INFANTIL 2</v>
      </c>
      <c r="G68" s="65" t="str">
        <f>IFERROR(__xludf.DUMMYFUNCTION("""COMPUTED_VALUE"""),"CEMEI PROFESSORA LINDOMAR DOMINGOS DA SILVA ANJOS")</f>
        <v>CEMEI PROFESSORA LINDOMAR DOMINGOS DA SILVA ANJOS</v>
      </c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</row>
    <row r="69" ht="15.75" customHeight="1" spans="1:24">
      <c r="A69" s="62" t="str">
        <f>IFERROR(__xludf.DUMMYFUNCTION("""COMPUTED_VALUE"""),"03/02/2026 19:19:03")</f>
        <v>03/02/2026 19:19:03</v>
      </c>
      <c r="B69" s="63" t="str">
        <f>IFERROR(__xludf.DUMMYFUNCTION("""COMPUTED_VALUE"""),"17")</f>
        <v>17</v>
      </c>
      <c r="C69" s="34" t="str">
        <f>IFERROR(__xludf.DUMMYFUNCTION("""COMPUTED_VALUE"""),"A. E. V. D. S")</f>
        <v>A. E. V. D. S</v>
      </c>
      <c r="D69" s="64" t="str">
        <f>IFERROR(__xludf.DUMMYFUNCTION("""COMPUTED_VALUE"""),"22/06/2023")</f>
        <v>22/06/2023</v>
      </c>
      <c r="E69" s="34" t="str">
        <f>IFERROR(__xludf.DUMMYFUNCTION("""COMPUTED_VALUE"""),"185******00")</f>
        <v>185******00</v>
      </c>
      <c r="F69" s="34" t="str">
        <f>IFERROR(__xludf.DUMMYFUNCTION("""COMPUTED_VALUE"""),"INFANTIL 2")</f>
        <v>INFANTIL 2</v>
      </c>
      <c r="G69" s="65" t="str">
        <f>IFERROR(__xludf.DUMMYFUNCTION("""COMPUTED_VALUE"""),"CEMEI PROFESSORA LINDOMAR DOMINGOS DA SILVA ANJOS")</f>
        <v>CEMEI PROFESSORA LINDOMAR DOMINGOS DA SILVA ANJOS</v>
      </c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</row>
    <row r="70" ht="15.75" customHeight="1" spans="1:24">
      <c r="A70" s="62" t="str">
        <f>IFERROR(__xludf.DUMMYFUNCTION("""COMPUTED_VALUE"""),"04/02/2026 09:54:58")</f>
        <v>04/02/2026 09:54:58</v>
      </c>
      <c r="B70" s="63" t="str">
        <f>IFERROR(__xludf.DUMMYFUNCTION("""COMPUTED_VALUE"""),"18")</f>
        <v>18</v>
      </c>
      <c r="C70" s="34" t="str">
        <f>IFERROR(__xludf.DUMMYFUNCTION("""COMPUTED_VALUE"""),"A. M. M. D. L")</f>
        <v>A. M. M. D. L</v>
      </c>
      <c r="D70" s="64" t="str">
        <f>IFERROR(__xludf.DUMMYFUNCTION("""COMPUTED_VALUE"""),"11/07/2023")</f>
        <v>11/07/2023</v>
      </c>
      <c r="E70" s="34" t="str">
        <f>IFERROR(__xludf.DUMMYFUNCTION("""COMPUTED_VALUE"""),"186******75")</f>
        <v>186******75</v>
      </c>
      <c r="F70" s="34" t="str">
        <f>IFERROR(__xludf.DUMMYFUNCTION("""COMPUTED_VALUE"""),"INFANTIL 2")</f>
        <v>INFANTIL 2</v>
      </c>
      <c r="G70" s="65" t="str">
        <f>IFERROR(__xludf.DUMMYFUNCTION("""COMPUTED_VALUE"""),"CEMEI PROFESSORA LINDOMAR DOMINGOS DA SILVA ANJOS")</f>
        <v>CEMEI PROFESSORA LINDOMAR DOMINGOS DA SILVA ANJOS</v>
      </c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</row>
    <row r="71" ht="15.75" customHeight="1" spans="1:24">
      <c r="A71" s="62" t="str">
        <f>IFERROR(__xludf.DUMMYFUNCTION("""COMPUTED_VALUE"""),"04/02/2026 12:41:36")</f>
        <v>04/02/2026 12:41:36</v>
      </c>
      <c r="B71" s="63" t="str">
        <f>IFERROR(__xludf.DUMMYFUNCTION("""COMPUTED_VALUE"""),"19")</f>
        <v>19</v>
      </c>
      <c r="C71" s="34" t="str">
        <f>IFERROR(__xludf.DUMMYFUNCTION("""COMPUTED_VALUE"""),"I. R. D. S")</f>
        <v>I. R. D. S</v>
      </c>
      <c r="D71" s="85" t="str">
        <f>IFERROR(__xludf.DUMMYFUNCTION("""COMPUTED_VALUE"""),"17/04/2023")</f>
        <v>17/04/2023</v>
      </c>
      <c r="E71" s="34" t="str">
        <f>IFERROR(__xludf.DUMMYFUNCTION("""COMPUTED_VALUE"""),"185******67")</f>
        <v>185******67</v>
      </c>
      <c r="F71" s="34" t="str">
        <f>IFERROR(__xludf.DUMMYFUNCTION("""COMPUTED_VALUE"""),"INFANTIL 2")</f>
        <v>INFANTIL 2</v>
      </c>
      <c r="G71" s="65" t="str">
        <f>IFERROR(__xludf.DUMMYFUNCTION("""COMPUTED_VALUE"""),"CEMEI PROFESSORA LINDOMAR DOMINGOS DA SILVA ANJOS")</f>
        <v>CEMEI PROFESSORA LINDOMAR DOMINGOS DA SILVA ANJOS</v>
      </c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</row>
    <row r="72" ht="15.75" customHeight="1" spans="1:24">
      <c r="A72" s="62" t="str">
        <f>IFERROR(__xludf.DUMMYFUNCTION("""COMPUTED_VALUE"""),"04/02/2026 15:23:58")</f>
        <v>04/02/2026 15:23:58</v>
      </c>
      <c r="B72" s="63" t="str">
        <f>IFERROR(__xludf.DUMMYFUNCTION("""COMPUTED_VALUE"""),"20")</f>
        <v>20</v>
      </c>
      <c r="C72" s="34" t="str">
        <f>IFERROR(__xludf.DUMMYFUNCTION("""COMPUTED_VALUE"""),"C. R. L. D. S")</f>
        <v>C. R. L. D. S</v>
      </c>
      <c r="D72" s="64" t="str">
        <f>IFERROR(__xludf.DUMMYFUNCTION("""COMPUTED_VALUE"""),"05/06/2023")</f>
        <v>05/06/2023</v>
      </c>
      <c r="E72" s="34" t="str">
        <f>IFERROR(__xludf.DUMMYFUNCTION("""COMPUTED_VALUE"""),"185******37")</f>
        <v>185******37</v>
      </c>
      <c r="F72" s="34" t="str">
        <f>IFERROR(__xludf.DUMMYFUNCTION("""COMPUTED_VALUE"""),"INFANTIL 2")</f>
        <v>INFANTIL 2</v>
      </c>
      <c r="G72" s="65" t="str">
        <f>IFERROR(__xludf.DUMMYFUNCTION("""COMPUTED_VALUE"""),"CEMEI PROFESSORA LINDOMAR DOMINGOS DA SILVA ANJOS")</f>
        <v>CEMEI PROFESSORA LINDOMAR DOMINGOS DA SILVA ANJOS</v>
      </c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</row>
    <row r="73" ht="15.75" customHeight="1" spans="1:24">
      <c r="A73" s="34" t="str">
        <f>IFERROR(__xludf.DUMMYFUNCTION("""COMPUTED_VALUE"""),"05/02/2026 16:07:06")</f>
        <v>05/02/2026 16:07:06</v>
      </c>
      <c r="B73" s="63" t="str">
        <f>IFERROR(__xludf.DUMMYFUNCTION("""COMPUTED_VALUE"""),"21")</f>
        <v>21</v>
      </c>
      <c r="C73" s="34" t="str">
        <f>IFERROR(__xludf.DUMMYFUNCTION("""COMPUTED_VALUE"""),"C. R. M. A. D. A")</f>
        <v>C. R. M. A. D. A</v>
      </c>
      <c r="D73" s="34" t="str">
        <f>IFERROR(__xludf.DUMMYFUNCTION("""COMPUTED_VALUE"""),"11/08/2023")</f>
        <v>11/08/2023</v>
      </c>
      <c r="E73" s="34" t="str">
        <f>IFERROR(__xludf.DUMMYFUNCTION("""COMPUTED_VALUE"""),"186******84")</f>
        <v>186******84</v>
      </c>
      <c r="F73" s="34" t="str">
        <f>IFERROR(__xludf.DUMMYFUNCTION("""COMPUTED_VALUE"""),"INFANTIL 2")</f>
        <v>INFANTIL 2</v>
      </c>
      <c r="G73" s="65" t="str">
        <f>IFERROR(__xludf.DUMMYFUNCTION("""COMPUTED_VALUE"""),"CEMEI PROFESSORA LINDOMAR DOMINGOS DA SILVA ANJOS")</f>
        <v>CEMEI PROFESSORA LINDOMAR DOMINGOS DA SILVA ANJOS</v>
      </c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</row>
    <row r="74" ht="15.75" customHeight="1" spans="1:24">
      <c r="A74" s="34" t="str">
        <f>IFERROR(__xludf.DUMMYFUNCTION("""COMPUTED_VALUE"""),"09/02/2026 09:40:47")</f>
        <v>09/02/2026 09:40:47</v>
      </c>
      <c r="B74" s="63" t="str">
        <f>IFERROR(__xludf.DUMMYFUNCTION("""COMPUTED_VALUE"""),"22")</f>
        <v>22</v>
      </c>
      <c r="C74" s="34" t="str">
        <f>IFERROR(__xludf.DUMMYFUNCTION("""COMPUTED_VALUE"""),"M. C. D. S")</f>
        <v>M. C. D. S</v>
      </c>
      <c r="D74" s="34" t="str">
        <f>IFERROR(__xludf.DUMMYFUNCTION("""COMPUTED_VALUE"""),"26/01/2024")</f>
        <v>26/01/2024</v>
      </c>
      <c r="E74" s="34" t="str">
        <f>IFERROR(__xludf.DUMMYFUNCTION("""COMPUTED_VALUE"""),"001******17")</f>
        <v>001******17</v>
      </c>
      <c r="F74" s="34" t="str">
        <f>IFERROR(__xludf.DUMMYFUNCTION("""COMPUTED_VALUE"""),"INFANTIL 2")</f>
        <v>INFANTIL 2</v>
      </c>
      <c r="G74" s="65" t="str">
        <f>IFERROR(__xludf.DUMMYFUNCTION("""COMPUTED_VALUE"""),"CEMEI PROFESSORA LINDOMAR DOMINGOS DA SILVA ANJOS")</f>
        <v>CEMEI PROFESSORA LINDOMAR DOMINGOS DA SILVA ANJOS</v>
      </c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</row>
    <row r="75" ht="15.75" customHeight="1" spans="1:24">
      <c r="A75" s="34" t="str">
        <f>IFERROR(__xludf.DUMMYFUNCTION("""COMPUTED_VALUE"""),"10/02/2026 07:55:39")</f>
        <v>10/02/2026 07:55:39</v>
      </c>
      <c r="B75" s="63" t="str">
        <f>IFERROR(__xludf.DUMMYFUNCTION("""COMPUTED_VALUE"""),"23")</f>
        <v>23</v>
      </c>
      <c r="C75" s="34" t="str">
        <f>IFERROR(__xludf.DUMMYFUNCTION("""COMPUTED_VALUE"""),"M. B. G")</f>
        <v>M. B. G</v>
      </c>
      <c r="D75" s="34" t="str">
        <f>IFERROR(__xludf.DUMMYFUNCTION("""COMPUTED_VALUE"""),"07/12/2023")</f>
        <v>07/12/2023</v>
      </c>
      <c r="E75" s="34" t="str">
        <f>IFERROR(__xludf.DUMMYFUNCTION("""COMPUTED_VALUE"""),"001******44")</f>
        <v>001******44</v>
      </c>
      <c r="F75" s="34" t="str">
        <f>IFERROR(__xludf.DUMMYFUNCTION("""COMPUTED_VALUE"""),"INFANTIL 2")</f>
        <v>INFANTIL 2</v>
      </c>
      <c r="G75" s="65" t="str">
        <f>IFERROR(__xludf.DUMMYFUNCTION("""COMPUTED_VALUE"""),"CEMEI PROFESSORA LINDOMAR DOMINGOS DA SILVA ANJOS")</f>
        <v>CEMEI PROFESSORA LINDOMAR DOMINGOS DA SILVA ANJOS</v>
      </c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</row>
    <row r="76" ht="15.75" customHeight="1" spans="1:24">
      <c r="A76" s="34" t="str">
        <f>IFERROR(__xludf.DUMMYFUNCTION("""COMPUTED_VALUE"""),"10/02/2026 08:09:08")</f>
        <v>10/02/2026 08:09:08</v>
      </c>
      <c r="B76" s="63" t="str">
        <f>IFERROR(__xludf.DUMMYFUNCTION("""COMPUTED_VALUE"""),"24")</f>
        <v>24</v>
      </c>
      <c r="C76" s="34" t="str">
        <f>IFERROR(__xludf.DUMMYFUNCTION("""COMPUTED_VALUE"""),"G. L. M. D. L")</f>
        <v>G. L. M. D. L</v>
      </c>
      <c r="D76" s="34" t="str">
        <f>IFERROR(__xludf.DUMMYFUNCTION("""COMPUTED_VALUE"""),"08/06/2023")</f>
        <v>08/06/2023</v>
      </c>
      <c r="E76" s="34" t="str">
        <f>IFERROR(__xludf.DUMMYFUNCTION("""COMPUTED_VALUE"""),"185******83")</f>
        <v>185******83</v>
      </c>
      <c r="F76" s="34" t="str">
        <f>IFERROR(__xludf.DUMMYFUNCTION("""COMPUTED_VALUE"""),"INFANTIL 2")</f>
        <v>INFANTIL 2</v>
      </c>
      <c r="G76" s="65" t="str">
        <f>IFERROR(__xludf.DUMMYFUNCTION("""COMPUTED_VALUE"""),"CEMEI PROFESSORA LINDOMAR DOMINGOS DA SILVA ANJOS")</f>
        <v>CEMEI PROFESSORA LINDOMAR DOMINGOS DA SILVA ANJOS</v>
      </c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</row>
    <row r="77" ht="15.75" customHeight="1" spans="1:24">
      <c r="A77" s="34" t="str">
        <f>IFERROR(__xludf.DUMMYFUNCTION("""COMPUTED_VALUE"""),"10/02/2026 11:18:19")</f>
        <v>10/02/2026 11:18:19</v>
      </c>
      <c r="B77" s="63" t="str">
        <f>IFERROR(__xludf.DUMMYFUNCTION("""COMPUTED_VALUE"""),"25")</f>
        <v>25</v>
      </c>
      <c r="C77" s="34" t="str">
        <f>IFERROR(__xludf.DUMMYFUNCTION("""COMPUTED_VALUE"""),"J. J. A. D. S")</f>
        <v>J. J. A. D. S</v>
      </c>
      <c r="D77" s="34" t="str">
        <f>IFERROR(__xludf.DUMMYFUNCTION("""COMPUTED_VALUE"""),"05/07/2023")</f>
        <v>05/07/2023</v>
      </c>
      <c r="E77" s="34" t="str">
        <f>IFERROR(__xludf.DUMMYFUNCTION("""COMPUTED_VALUE"""),"185******70")</f>
        <v>185******70</v>
      </c>
      <c r="F77" s="34" t="str">
        <f>IFERROR(__xludf.DUMMYFUNCTION("""COMPUTED_VALUE"""),"INFANTIL 2")</f>
        <v>INFANTIL 2</v>
      </c>
      <c r="G77" s="65" t="str">
        <f>IFERROR(__xludf.DUMMYFUNCTION("""COMPUTED_VALUE"""),"CEMEI PROFESSORA LINDOMAR DOMINGOS DA SILVA ANJOS")</f>
        <v>CEMEI PROFESSORA LINDOMAR DOMINGOS DA SILVA ANJOS</v>
      </c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</row>
    <row r="78" ht="15.75" customHeight="1" spans="1:24">
      <c r="A78" s="34" t="str">
        <f>IFERROR(__xludf.DUMMYFUNCTION("""COMPUTED_VALUE"""),"11/02/2026 13:53:52")</f>
        <v>11/02/2026 13:53:52</v>
      </c>
      <c r="B78" s="63" t="str">
        <f>IFERROR(__xludf.DUMMYFUNCTION("""COMPUTED_VALUE"""),"26")</f>
        <v>26</v>
      </c>
      <c r="C78" s="34" t="str">
        <f>IFERROR(__xludf.DUMMYFUNCTION("""COMPUTED_VALUE"""),"Y. M. V. D. S. N")</f>
        <v>Y. M. V. D. S. N</v>
      </c>
      <c r="D78" s="34" t="str">
        <f>IFERROR(__xludf.DUMMYFUNCTION("""COMPUTED_VALUE"""),"10/11/2023")</f>
        <v>10/11/2023</v>
      </c>
      <c r="E78" s="34" t="str">
        <f>IFERROR(__xludf.DUMMYFUNCTION("""COMPUTED_VALUE"""),"000******22")</f>
        <v>000******22</v>
      </c>
      <c r="F78" s="34" t="str">
        <f>IFERROR(__xludf.DUMMYFUNCTION("""COMPUTED_VALUE"""),"INFANTIL 2")</f>
        <v>INFANTIL 2</v>
      </c>
      <c r="G78" s="65" t="str">
        <f>IFERROR(__xludf.DUMMYFUNCTION("""COMPUTED_VALUE"""),"CEMEI PROFESSORA LINDOMAR DOMINGOS DA SILVA ANJOS")</f>
        <v>CEMEI PROFESSORA LINDOMAR DOMINGOS DA SILVA ANJOS</v>
      </c>
      <c r="H78" s="34"/>
      <c r="I78" s="34"/>
      <c r="J78" s="34"/>
      <c r="K78" s="34"/>
      <c r="L78" s="34"/>
      <c r="M78" s="34"/>
      <c r="N78" s="34"/>
      <c r="O78" s="34"/>
      <c r="P78" s="34"/>
      <c r="Q78" s="34"/>
      <c r="R78" s="34"/>
      <c r="S78" s="34"/>
      <c r="T78" s="34"/>
      <c r="U78" s="34"/>
      <c r="V78" s="34"/>
      <c r="W78" s="34"/>
      <c r="X78" s="34"/>
    </row>
    <row r="79" ht="15.75" customHeight="1" spans="1:24">
      <c r="A79" s="34" t="str">
        <f>IFERROR(__xludf.DUMMYFUNCTION("""COMPUTED_VALUE"""),"19/02/2026 09:30:52")</f>
        <v>19/02/2026 09:30:52</v>
      </c>
      <c r="B79" s="63" t="str">
        <f>IFERROR(__xludf.DUMMYFUNCTION("""COMPUTED_VALUE"""),"27")</f>
        <v>27</v>
      </c>
      <c r="C79" s="34" t="str">
        <f>IFERROR(__xludf.DUMMYFUNCTION("""COMPUTED_VALUE"""),"B. D. S. F")</f>
        <v>B. D. S. F</v>
      </c>
      <c r="D79" s="34" t="str">
        <f>IFERROR(__xludf.DUMMYFUNCTION("""COMPUTED_VALUE"""),"25/04/2023")</f>
        <v>25/04/2023</v>
      </c>
      <c r="E79" s="34" t="str">
        <f>IFERROR(__xludf.DUMMYFUNCTION("""COMPUTED_VALUE"""),"185******70")</f>
        <v>185******70</v>
      </c>
      <c r="F79" s="34" t="str">
        <f>IFERROR(__xludf.DUMMYFUNCTION("""COMPUTED_VALUE"""),"INFANTIL 2")</f>
        <v>INFANTIL 2</v>
      </c>
      <c r="G79" s="65" t="str">
        <f>IFERROR(__xludf.DUMMYFUNCTION("""COMPUTED_VALUE"""),"CEMEI PROFESSORA LINDOMAR DOMINGOS DA SILVA ANJOS")</f>
        <v>CEMEI PROFESSORA LINDOMAR DOMINGOS DA SILVA ANJOS</v>
      </c>
      <c r="H79" s="34"/>
      <c r="I79" s="34"/>
      <c r="J79" s="34"/>
      <c r="K79" s="34"/>
      <c r="L79" s="34"/>
      <c r="M79" s="34"/>
      <c r="N79" s="34"/>
      <c r="O79" s="34"/>
      <c r="P79" s="34"/>
      <c r="Q79" s="34"/>
      <c r="R79" s="34"/>
      <c r="S79" s="34"/>
      <c r="T79" s="34"/>
      <c r="U79" s="34"/>
      <c r="V79" s="34"/>
      <c r="W79" s="34"/>
      <c r="X79" s="34"/>
    </row>
    <row r="80" ht="15.75" customHeight="1" spans="1:24">
      <c r="A80" s="34" t="str">
        <f>IFERROR(__xludf.DUMMYFUNCTION("""COMPUTED_VALUE"""),"03/03/2026 12:02:06")</f>
        <v>03/03/2026 12:02:06</v>
      </c>
      <c r="B80" s="63" t="str">
        <f>IFERROR(__xludf.DUMMYFUNCTION("""COMPUTED_VALUE"""),"28")</f>
        <v>28</v>
      </c>
      <c r="C80" s="34" t="str">
        <f>IFERROR(__xludf.DUMMYFUNCTION("""COMPUTED_VALUE"""),"H. B. D. S")</f>
        <v>H. B. D. S</v>
      </c>
      <c r="D80" s="34" t="str">
        <f>IFERROR(__xludf.DUMMYFUNCTION("""COMPUTED_VALUE"""),"27/06/2023")</f>
        <v>27/06/2023</v>
      </c>
      <c r="E80" s="34" t="str">
        <f>IFERROR(__xludf.DUMMYFUNCTION("""COMPUTED_VALUE"""),"185******04")</f>
        <v>185******04</v>
      </c>
      <c r="F80" s="34" t="str">
        <f>IFERROR(__xludf.DUMMYFUNCTION("""COMPUTED_VALUE"""),"INFANTIL 2")</f>
        <v>INFANTIL 2</v>
      </c>
      <c r="G80" s="65" t="str">
        <f>IFERROR(__xludf.DUMMYFUNCTION("""COMPUTED_VALUE"""),"CEMEI PROFESSORA LINDOMAR DOMINGOS DA SILVA ANJOS")</f>
        <v>CEMEI PROFESSORA LINDOMAR DOMINGOS DA SILVA ANJOS</v>
      </c>
      <c r="H80" s="34"/>
      <c r="I80" s="34"/>
      <c r="J80" s="34"/>
      <c r="K80" s="34"/>
      <c r="L80" s="34"/>
      <c r="M80" s="34"/>
      <c r="N80" s="34"/>
      <c r="O80" s="34"/>
      <c r="P80" s="34"/>
      <c r="Q80" s="34"/>
      <c r="R80" s="34"/>
      <c r="S80" s="34"/>
      <c r="T80" s="34"/>
      <c r="U80" s="34"/>
      <c r="V80" s="34"/>
      <c r="W80" s="34"/>
      <c r="X80" s="34"/>
    </row>
    <row r="81" ht="15.75" customHeight="1" spans="1:24">
      <c r="A81" s="34" t="str">
        <f>IFERROR(__xludf.DUMMYFUNCTION("""COMPUTED_VALUE"""),"04/03/2026 07:55:35")</f>
        <v>04/03/2026 07:55:35</v>
      </c>
      <c r="B81" s="63" t="str">
        <f>IFERROR(__xludf.DUMMYFUNCTION("""COMPUTED_VALUE"""),"29")</f>
        <v>29</v>
      </c>
      <c r="C81" s="34" t="str">
        <f>IFERROR(__xludf.DUMMYFUNCTION("""COMPUTED_VALUE"""),"A. G. P. D. S")</f>
        <v>A. G. P. D. S</v>
      </c>
      <c r="D81" s="34" t="str">
        <f>IFERROR(__xludf.DUMMYFUNCTION("""COMPUTED_VALUE"""),"16/11/2023")</f>
        <v>16/11/2023</v>
      </c>
      <c r="E81" s="34" t="str">
        <f>IFERROR(__xludf.DUMMYFUNCTION("""COMPUTED_VALUE"""),"001******73")</f>
        <v>001******73</v>
      </c>
      <c r="F81" s="34" t="str">
        <f>IFERROR(__xludf.DUMMYFUNCTION("""COMPUTED_VALUE"""),"INFANTIL 2")</f>
        <v>INFANTIL 2</v>
      </c>
      <c r="G81" s="65" t="str">
        <f>IFERROR(__xludf.DUMMYFUNCTION("""COMPUTED_VALUE"""),"CEMEI PROFESSORA LINDOMAR DOMINGOS DA SILVA ANJOS")</f>
        <v>CEMEI PROFESSORA LINDOMAR DOMINGOS DA SILVA ANJOS</v>
      </c>
      <c r="H81" s="34"/>
      <c r="I81" s="34"/>
      <c r="J81" s="34"/>
      <c r="K81" s="34"/>
      <c r="L81" s="34"/>
      <c r="M81" s="34"/>
      <c r="N81" s="34"/>
      <c r="O81" s="34"/>
      <c r="P81" s="34"/>
      <c r="Q81" s="34"/>
      <c r="R81" s="34"/>
      <c r="S81" s="34"/>
      <c r="T81" s="34"/>
      <c r="U81" s="34"/>
      <c r="V81" s="34"/>
      <c r="W81" s="34"/>
      <c r="X81" s="34"/>
    </row>
    <row r="82" ht="15.75" customHeight="1" spans="1:24">
      <c r="A82" s="34" t="str">
        <f>IFERROR(__xludf.DUMMYFUNCTION("""COMPUTED_VALUE"""),"12/03/2026 11:41:32")</f>
        <v>12/03/2026 11:41:32</v>
      </c>
      <c r="B82" s="63" t="str">
        <f>IFERROR(__xludf.DUMMYFUNCTION("""COMPUTED_VALUE"""),"30")</f>
        <v>30</v>
      </c>
      <c r="C82" s="34" t="str">
        <f>IFERROR(__xludf.DUMMYFUNCTION("""COMPUTED_VALUE"""),"A. H. S. D. S")</f>
        <v>A. H. S. D. S</v>
      </c>
      <c r="D82" s="34" t="str">
        <f>IFERROR(__xludf.DUMMYFUNCTION("""COMPUTED_VALUE"""),"21/09/2023")</f>
        <v>21/09/2023</v>
      </c>
      <c r="E82" s="34" t="str">
        <f>IFERROR(__xludf.DUMMYFUNCTION("""COMPUTED_VALUE"""),"186******03")</f>
        <v>186******03</v>
      </c>
      <c r="F82" s="34" t="str">
        <f>IFERROR(__xludf.DUMMYFUNCTION("""COMPUTED_VALUE"""),"INFANTIL 2")</f>
        <v>INFANTIL 2</v>
      </c>
      <c r="G82" s="65" t="str">
        <f>IFERROR(__xludf.DUMMYFUNCTION("""COMPUTED_VALUE"""),"CEMEI PROFESSORA LINDOMAR DOMINGOS DA SILVA ANJOS")</f>
        <v>CEMEI PROFESSORA LINDOMAR DOMINGOS DA SILVA ANJOS</v>
      </c>
      <c r="H82" s="34"/>
      <c r="I82" s="34"/>
      <c r="J82" s="34"/>
      <c r="K82" s="34"/>
      <c r="L82" s="34"/>
      <c r="M82" s="34"/>
      <c r="N82" s="34"/>
      <c r="O82" s="34"/>
      <c r="P82" s="34"/>
      <c r="Q82" s="34"/>
      <c r="R82" s="34"/>
      <c r="S82" s="34"/>
      <c r="T82" s="34"/>
      <c r="U82" s="34"/>
      <c r="V82" s="34"/>
      <c r="W82" s="34"/>
      <c r="X82" s="34"/>
    </row>
    <row r="83" ht="15.75" customHeight="1" spans="1:24">
      <c r="A83" s="34" t="str">
        <f>IFERROR(__xludf.DUMMYFUNCTION("""COMPUTED_VALUE"""),"25/04/2026 06:48:05")</f>
        <v>25/04/2026 06:48:05</v>
      </c>
      <c r="B83" s="63" t="str">
        <f>IFERROR(__xludf.DUMMYFUNCTION("""COMPUTED_VALUE"""),"31")</f>
        <v>31</v>
      </c>
      <c r="C83" s="34" t="str">
        <f>IFERROR(__xludf.DUMMYFUNCTION("""COMPUTED_VALUE"""),"C. M. D. A")</f>
        <v>C. M. D. A</v>
      </c>
      <c r="D83" s="34" t="str">
        <f>IFERROR(__xludf.DUMMYFUNCTION("""COMPUTED_VALUE"""),"23/09/2023")</f>
        <v>23/09/2023</v>
      </c>
      <c r="E83" s="34" t="str">
        <f>IFERROR(__xludf.DUMMYFUNCTION("""COMPUTED_VALUE"""),"000******91")</f>
        <v>000******91</v>
      </c>
      <c r="F83" s="34" t="str">
        <f>IFERROR(__xludf.DUMMYFUNCTION("""COMPUTED_VALUE"""),"INFANTIL 2")</f>
        <v>INFANTIL 2</v>
      </c>
      <c r="G83" s="65" t="str">
        <f>IFERROR(__xludf.DUMMYFUNCTION("""COMPUTED_VALUE"""),"CEMEI PROFESSORA LINDOMAR DOMINGOS DA SILVA ANJOS")</f>
        <v>CEMEI PROFESSORA LINDOMAR DOMINGOS DA SILVA ANJOS</v>
      </c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S83" s="34"/>
      <c r="T83" s="34"/>
      <c r="U83" s="34"/>
      <c r="V83" s="34"/>
      <c r="W83" s="34"/>
      <c r="X83" s="34"/>
    </row>
    <row r="84" ht="15.75" customHeight="1" spans="1:24">
      <c r="A84" s="34" t="str">
        <f>IFERROR(__xludf.DUMMYFUNCTION("""COMPUTED_VALUE"""),"28/01/2026 08:09:51")</f>
        <v>28/01/2026 08:09:51</v>
      </c>
      <c r="B84" s="63" t="str">
        <f>IFERROR(__xludf.DUMMYFUNCTION("""COMPUTED_VALUE"""),"1")</f>
        <v>1</v>
      </c>
      <c r="C84" s="34" t="str">
        <f>IFERROR(__xludf.DUMMYFUNCTION("""COMPUTED_VALUE"""),"J. V. M. D. S. S")</f>
        <v>J. V. M. D. S. S</v>
      </c>
      <c r="D84" s="34" t="str">
        <f>IFERROR(__xludf.DUMMYFUNCTION("""COMPUTED_VALUE"""),"11/08/2022")</f>
        <v>11/08/2022</v>
      </c>
      <c r="E84" s="34" t="str">
        <f>IFERROR(__xludf.DUMMYFUNCTION("""COMPUTED_VALUE"""),"182******05")</f>
        <v>182******05</v>
      </c>
      <c r="F84" s="34" t="str">
        <f>IFERROR(__xludf.DUMMYFUNCTION("""COMPUTED_VALUE"""),"INFANTIL 3")</f>
        <v>INFANTIL 3</v>
      </c>
      <c r="G84" s="65" t="str">
        <f>IFERROR(__xludf.DUMMYFUNCTION("""COMPUTED_VALUE"""),"CEMEI PROFESSORA LINDOMAR DOMINGOS DA SILVA ANJOS")</f>
        <v>CEMEI PROFESSORA LINDOMAR DOMINGOS DA SILVA ANJOS</v>
      </c>
      <c r="H84" s="34"/>
      <c r="I84" s="34"/>
      <c r="J84" s="34"/>
      <c r="K84" s="34"/>
      <c r="L84" s="34"/>
      <c r="M84" s="34"/>
      <c r="N84" s="34"/>
      <c r="O84" s="34"/>
      <c r="P84" s="34"/>
      <c r="Q84" s="34"/>
      <c r="R84" s="34"/>
      <c r="S84" s="34"/>
      <c r="T84" s="34"/>
      <c r="U84" s="34"/>
      <c r="V84" s="34"/>
      <c r="W84" s="34"/>
      <c r="X84" s="34"/>
    </row>
    <row r="85" ht="15.75" customHeight="1" spans="1:24">
      <c r="A85" s="34" t="str">
        <f>IFERROR(__xludf.DUMMYFUNCTION("""COMPUTED_VALUE"""),"28/01/2026 08:18:50")</f>
        <v>28/01/2026 08:18:50</v>
      </c>
      <c r="B85" s="63" t="str">
        <f>IFERROR(__xludf.DUMMYFUNCTION("""COMPUTED_VALUE"""),"2")</f>
        <v>2</v>
      </c>
      <c r="C85" s="34" t="str">
        <f>IFERROR(__xludf.DUMMYFUNCTION("""COMPUTED_VALUE"""),"T. S. A. S")</f>
        <v>T. S. A. S</v>
      </c>
      <c r="D85" s="34" t="str">
        <f>IFERROR(__xludf.DUMMYFUNCTION("""COMPUTED_VALUE"""),"25/06/2022")</f>
        <v>25/06/2022</v>
      </c>
      <c r="E85" s="34" t="str">
        <f>IFERROR(__xludf.DUMMYFUNCTION("""COMPUTED_VALUE"""),"182******52")</f>
        <v>182******52</v>
      </c>
      <c r="F85" s="34" t="str">
        <f>IFERROR(__xludf.DUMMYFUNCTION("""COMPUTED_VALUE"""),"INFANTIL 3")</f>
        <v>INFANTIL 3</v>
      </c>
      <c r="G85" s="65" t="str">
        <f>IFERROR(__xludf.DUMMYFUNCTION("""COMPUTED_VALUE"""),"CEMEI PROFESSORA LINDOMAR DOMINGOS DA SILVA ANJOS")</f>
        <v>CEMEI PROFESSORA LINDOMAR DOMINGOS DA SILVA ANJOS</v>
      </c>
      <c r="H85" s="34"/>
      <c r="I85" s="34"/>
      <c r="J85" s="34"/>
      <c r="K85" s="34"/>
      <c r="L85" s="34"/>
      <c r="M85" s="34"/>
      <c r="N85" s="34"/>
      <c r="O85" s="34"/>
      <c r="P85" s="34"/>
      <c r="Q85" s="34"/>
      <c r="R85" s="34"/>
      <c r="S85" s="34"/>
      <c r="T85" s="34"/>
      <c r="U85" s="34"/>
      <c r="V85" s="34"/>
      <c r="W85" s="34"/>
      <c r="X85" s="34"/>
    </row>
    <row r="86" ht="15.75" customHeight="1" spans="1:24">
      <c r="A86" s="34" t="str">
        <f>IFERROR(__xludf.DUMMYFUNCTION("""COMPUTED_VALUE"""),"28/01/2026 08:24:51")</f>
        <v>28/01/2026 08:24:51</v>
      </c>
      <c r="B86" s="63" t="str">
        <f>IFERROR(__xludf.DUMMYFUNCTION("""COMPUTED_VALUE"""),"3")</f>
        <v>3</v>
      </c>
      <c r="C86" s="34" t="str">
        <f>IFERROR(__xludf.DUMMYFUNCTION("""COMPUTED_VALUE"""),"K. L. V. D. S")</f>
        <v>K. L. V. D. S</v>
      </c>
      <c r="D86" s="34" t="str">
        <f>IFERROR(__xludf.DUMMYFUNCTION("""COMPUTED_VALUE"""),"14/01/2023")</f>
        <v>14/01/2023</v>
      </c>
      <c r="E86" s="34" t="str">
        <f>IFERROR(__xludf.DUMMYFUNCTION("""COMPUTED_VALUE"""),"184******86")</f>
        <v>184******86</v>
      </c>
      <c r="F86" s="34" t="str">
        <f>IFERROR(__xludf.DUMMYFUNCTION("""COMPUTED_VALUE"""),"INFANTIL 3")</f>
        <v>INFANTIL 3</v>
      </c>
      <c r="G86" s="65" t="str">
        <f>IFERROR(__xludf.DUMMYFUNCTION("""COMPUTED_VALUE"""),"CEMEI PROFESSORA LINDOMAR DOMINGOS DA SILVA ANJOS")</f>
        <v>CEMEI PROFESSORA LINDOMAR DOMINGOS DA SILVA ANJOS</v>
      </c>
      <c r="H86" s="34"/>
      <c r="I86" s="34"/>
      <c r="J86" s="34"/>
      <c r="K86" s="34"/>
      <c r="L86" s="34"/>
      <c r="M86" s="34"/>
      <c r="N86" s="34"/>
      <c r="O86" s="34"/>
      <c r="P86" s="34"/>
      <c r="Q86" s="34"/>
      <c r="R86" s="34"/>
      <c r="S86" s="34"/>
      <c r="T86" s="34"/>
      <c r="U86" s="34"/>
      <c r="V86" s="34"/>
      <c r="W86" s="34"/>
      <c r="X86" s="34"/>
    </row>
    <row r="87" ht="15.75" customHeight="1" spans="1:24">
      <c r="A87" s="34" t="str">
        <f>IFERROR(__xludf.DUMMYFUNCTION("""COMPUTED_VALUE"""),"28/01/2026 08:40:24")</f>
        <v>28/01/2026 08:40:24</v>
      </c>
      <c r="B87" s="63" t="str">
        <f>IFERROR(__xludf.DUMMYFUNCTION("""COMPUTED_VALUE"""),"4")</f>
        <v>4</v>
      </c>
      <c r="C87" s="34" t="str">
        <f>IFERROR(__xludf.DUMMYFUNCTION("""COMPUTED_VALUE"""),"A. H. D. O. S")</f>
        <v>A. H. D. O. S</v>
      </c>
      <c r="D87" s="34" t="str">
        <f>IFERROR(__xludf.DUMMYFUNCTION("""COMPUTED_VALUE"""),"16/05/2022")</f>
        <v>16/05/2022</v>
      </c>
      <c r="E87" s="34" t="str">
        <f>IFERROR(__xludf.DUMMYFUNCTION("""COMPUTED_VALUE"""),"181******57")</f>
        <v>181******57</v>
      </c>
      <c r="F87" s="34" t="str">
        <f>IFERROR(__xludf.DUMMYFUNCTION("""COMPUTED_VALUE"""),"INFANTIL 3")</f>
        <v>INFANTIL 3</v>
      </c>
      <c r="G87" s="65" t="str">
        <f>IFERROR(__xludf.DUMMYFUNCTION("""COMPUTED_VALUE"""),"CEMEI PROFESSORA LINDOMAR DOMINGOS DA SILVA ANJOS")</f>
        <v>CEMEI PROFESSORA LINDOMAR DOMINGOS DA SILVA ANJOS</v>
      </c>
      <c r="H87" s="34"/>
      <c r="I87" s="34"/>
      <c r="J87" s="34"/>
      <c r="K87" s="34"/>
      <c r="L87" s="34"/>
      <c r="M87" s="34"/>
      <c r="N87" s="34"/>
      <c r="O87" s="34"/>
      <c r="P87" s="34"/>
      <c r="Q87" s="34"/>
      <c r="R87" s="34"/>
      <c r="S87" s="34"/>
      <c r="T87" s="34"/>
      <c r="U87" s="34"/>
      <c r="V87" s="34"/>
      <c r="W87" s="34"/>
      <c r="X87" s="34"/>
    </row>
    <row r="88" ht="15.75" customHeight="1" spans="1:24">
      <c r="A88" s="34" t="str">
        <f>IFERROR(__xludf.DUMMYFUNCTION("""COMPUTED_VALUE"""),"28/01/2026 08:49:30")</f>
        <v>28/01/2026 08:49:30</v>
      </c>
      <c r="B88" s="63" t="str">
        <f>IFERROR(__xludf.DUMMYFUNCTION("""COMPUTED_VALUE"""),"5")</f>
        <v>5</v>
      </c>
      <c r="C88" s="34" t="str">
        <f>IFERROR(__xludf.DUMMYFUNCTION("""COMPUTED_VALUE"""),"J. B. S. D. S")</f>
        <v>J. B. S. D. S</v>
      </c>
      <c r="D88" s="34" t="str">
        <f>IFERROR(__xludf.DUMMYFUNCTION("""COMPUTED_VALUE"""),"06/03/2023")</f>
        <v>06/03/2023</v>
      </c>
      <c r="E88" s="34" t="str">
        <f>IFERROR(__xludf.DUMMYFUNCTION("""COMPUTED_VALUE"""),"184******70")</f>
        <v>184******70</v>
      </c>
      <c r="F88" s="34" t="str">
        <f>IFERROR(__xludf.DUMMYFUNCTION("""COMPUTED_VALUE"""),"INFANTIL 3")</f>
        <v>INFANTIL 3</v>
      </c>
      <c r="G88" s="65" t="str">
        <f>IFERROR(__xludf.DUMMYFUNCTION("""COMPUTED_VALUE"""),"CEMEI PROFESSORA LINDOMAR DOMINGOS DA SILVA ANJOS")</f>
        <v>CEMEI PROFESSORA LINDOMAR DOMINGOS DA SILVA ANJOS</v>
      </c>
      <c r="H88" s="34"/>
      <c r="I88" s="34"/>
      <c r="J88" s="34"/>
      <c r="K88" s="34"/>
      <c r="L88" s="34"/>
      <c r="M88" s="34"/>
      <c r="N88" s="34"/>
      <c r="O88" s="34"/>
      <c r="P88" s="34"/>
      <c r="Q88" s="34"/>
      <c r="R88" s="34"/>
      <c r="S88" s="34"/>
      <c r="T88" s="34"/>
      <c r="U88" s="34"/>
      <c r="V88" s="34"/>
      <c r="W88" s="34"/>
      <c r="X88" s="34"/>
    </row>
    <row r="89" ht="15.75" customHeight="1" spans="1:24">
      <c r="A89" s="34" t="str">
        <f>IFERROR(__xludf.DUMMYFUNCTION("""COMPUTED_VALUE"""),"28/01/2026 10:50:39")</f>
        <v>28/01/2026 10:50:39</v>
      </c>
      <c r="B89" s="63" t="str">
        <f>IFERROR(__xludf.DUMMYFUNCTION("""COMPUTED_VALUE"""),"6")</f>
        <v>6</v>
      </c>
      <c r="C89" s="34" t="str">
        <f>IFERROR(__xludf.DUMMYFUNCTION("""COMPUTED_VALUE"""),"G. S. R")</f>
        <v>G. S. R</v>
      </c>
      <c r="D89" s="34" t="str">
        <f>IFERROR(__xludf.DUMMYFUNCTION("""COMPUTED_VALUE"""),"14/04/2022")</f>
        <v>14/04/2022</v>
      </c>
      <c r="E89" s="34" t="str">
        <f>IFERROR(__xludf.DUMMYFUNCTION("""COMPUTED_VALUE"""),"181******84")</f>
        <v>181******84</v>
      </c>
      <c r="F89" s="34" t="str">
        <f>IFERROR(__xludf.DUMMYFUNCTION("""COMPUTED_VALUE"""),"INFANTIL 3")</f>
        <v>INFANTIL 3</v>
      </c>
      <c r="G89" s="65" t="str">
        <f>IFERROR(__xludf.DUMMYFUNCTION("""COMPUTED_VALUE"""),"CEMEI PROFESSORA LINDOMAR DOMINGOS DA SILVA ANJOS")</f>
        <v>CEMEI PROFESSORA LINDOMAR DOMINGOS DA SILVA ANJOS</v>
      </c>
      <c r="H89" s="34"/>
      <c r="I89" s="34"/>
      <c r="J89" s="34"/>
      <c r="K89" s="34"/>
      <c r="L89" s="34"/>
      <c r="M89" s="34"/>
      <c r="N89" s="34"/>
      <c r="O89" s="34"/>
      <c r="P89" s="34"/>
      <c r="Q89" s="34"/>
      <c r="R89" s="34"/>
      <c r="S89" s="34"/>
      <c r="T89" s="34"/>
      <c r="U89" s="34"/>
      <c r="V89" s="34"/>
      <c r="W89" s="34"/>
      <c r="X89" s="34"/>
    </row>
    <row r="90" ht="15.75" customHeight="1" spans="1:24">
      <c r="A90" s="34" t="str">
        <f>IFERROR(__xludf.DUMMYFUNCTION("""COMPUTED_VALUE"""),"28/01/2026 15:27:57")</f>
        <v>28/01/2026 15:27:57</v>
      </c>
      <c r="B90" s="63" t="str">
        <f>IFERROR(__xludf.DUMMYFUNCTION("""COMPUTED_VALUE"""),"7")</f>
        <v>7</v>
      </c>
      <c r="C90" s="34" t="str">
        <f>IFERROR(__xludf.DUMMYFUNCTION("""COMPUTED_VALUE"""),"A. B. N. D. S")</f>
        <v>A. B. N. D. S</v>
      </c>
      <c r="D90" s="34" t="str">
        <f>IFERROR(__xludf.DUMMYFUNCTION("""COMPUTED_VALUE"""),"19/04/2022")</f>
        <v>19/04/2022</v>
      </c>
      <c r="E90" s="34" t="str">
        <f>IFERROR(__xludf.DUMMYFUNCTION("""COMPUTED_VALUE"""),"181******03")</f>
        <v>181******03</v>
      </c>
      <c r="F90" s="34" t="str">
        <f>IFERROR(__xludf.DUMMYFUNCTION("""COMPUTED_VALUE"""),"INFANTIL 3")</f>
        <v>INFANTIL 3</v>
      </c>
      <c r="G90" s="65" t="str">
        <f>IFERROR(__xludf.DUMMYFUNCTION("""COMPUTED_VALUE"""),"CEMEI PROFESSORA LINDOMAR DOMINGOS DA SILVA ANJOS")</f>
        <v>CEMEI PROFESSORA LINDOMAR DOMINGOS DA SILVA ANJOS</v>
      </c>
      <c r="H90" s="34"/>
      <c r="I90" s="34"/>
      <c r="J90" s="34"/>
      <c r="K90" s="34"/>
      <c r="L90" s="34"/>
      <c r="M90" s="34"/>
      <c r="N90" s="34"/>
      <c r="O90" s="34"/>
      <c r="P90" s="34"/>
      <c r="Q90" s="34"/>
      <c r="R90" s="34"/>
      <c r="S90" s="34"/>
      <c r="T90" s="34"/>
      <c r="U90" s="34"/>
      <c r="V90" s="34"/>
      <c r="W90" s="34"/>
      <c r="X90" s="34"/>
    </row>
    <row r="91" ht="15.75" customHeight="1" spans="1:24">
      <c r="A91" s="34" t="str">
        <f>IFERROR(__xludf.DUMMYFUNCTION("""COMPUTED_VALUE"""),"28/01/2026 16:26:14")</f>
        <v>28/01/2026 16:26:14</v>
      </c>
      <c r="B91" s="63" t="str">
        <f>IFERROR(__xludf.DUMMYFUNCTION("""COMPUTED_VALUE"""),"8")</f>
        <v>8</v>
      </c>
      <c r="C91" s="34" t="str">
        <f>IFERROR(__xludf.DUMMYFUNCTION("""COMPUTED_VALUE"""),"A. T. S. D. S")</f>
        <v>A. T. S. D. S</v>
      </c>
      <c r="D91" s="34" t="str">
        <f>IFERROR(__xludf.DUMMYFUNCTION("""COMPUTED_VALUE"""),"13/12/2022")</f>
        <v>13/12/2022</v>
      </c>
      <c r="E91" s="34" t="str">
        <f>IFERROR(__xludf.DUMMYFUNCTION("""COMPUTED_VALUE"""),"184******30")</f>
        <v>184******30</v>
      </c>
      <c r="F91" s="34" t="str">
        <f>IFERROR(__xludf.DUMMYFUNCTION("""COMPUTED_VALUE"""),"INFANTIL 3")</f>
        <v>INFANTIL 3</v>
      </c>
      <c r="G91" s="65" t="str">
        <f>IFERROR(__xludf.DUMMYFUNCTION("""COMPUTED_VALUE"""),"CEMEI PROFESSORA LINDOMAR DOMINGOS DA SILVA ANJOS")</f>
        <v>CEMEI PROFESSORA LINDOMAR DOMINGOS DA SILVA ANJOS</v>
      </c>
      <c r="H91" s="34"/>
      <c r="I91" s="34"/>
      <c r="J91" s="34"/>
      <c r="K91" s="34"/>
      <c r="L91" s="34"/>
      <c r="M91" s="34"/>
      <c r="N91" s="34"/>
      <c r="O91" s="34"/>
      <c r="P91" s="34"/>
      <c r="Q91" s="34"/>
      <c r="R91" s="34"/>
      <c r="S91" s="34"/>
      <c r="T91" s="34"/>
      <c r="U91" s="34"/>
      <c r="V91" s="34"/>
      <c r="W91" s="34"/>
      <c r="X91" s="34"/>
    </row>
    <row r="92" ht="15.75" customHeight="1" spans="1:24">
      <c r="A92" s="34" t="str">
        <f>IFERROR(__xludf.DUMMYFUNCTION("""COMPUTED_VALUE"""),"28/01/2026 22:31:23")</f>
        <v>28/01/2026 22:31:23</v>
      </c>
      <c r="B92" s="63" t="str">
        <f>IFERROR(__xludf.DUMMYFUNCTION("""COMPUTED_VALUE"""),"9")</f>
        <v>9</v>
      </c>
      <c r="C92" s="34" t="str">
        <f>IFERROR(__xludf.DUMMYFUNCTION("""COMPUTED_VALUE"""),"L. M. D. H. S")</f>
        <v>L. M. D. H. S</v>
      </c>
      <c r="D92" s="34" t="str">
        <f>IFERROR(__xludf.DUMMYFUNCTION("""COMPUTED_VALUE"""),"26/12/2022")</f>
        <v>26/12/2022</v>
      </c>
      <c r="E92" s="34" t="str">
        <f>IFERROR(__xludf.DUMMYFUNCTION("""COMPUTED_VALUE"""),"184******90")</f>
        <v>184******90</v>
      </c>
      <c r="F92" s="34" t="str">
        <f>IFERROR(__xludf.DUMMYFUNCTION("""COMPUTED_VALUE"""),"INFANTIL 3")</f>
        <v>INFANTIL 3</v>
      </c>
      <c r="G92" s="65" t="str">
        <f>IFERROR(__xludf.DUMMYFUNCTION("""COMPUTED_VALUE"""),"CEMEI PROFESSORA LINDOMAR DOMINGOS DA SILVA ANJOS")</f>
        <v>CEMEI PROFESSORA LINDOMAR DOMINGOS DA SILVA ANJOS</v>
      </c>
      <c r="H92" s="34"/>
      <c r="I92" s="34"/>
      <c r="J92" s="34"/>
      <c r="K92" s="34"/>
      <c r="L92" s="34"/>
      <c r="M92" s="34"/>
      <c r="N92" s="34"/>
      <c r="O92" s="34"/>
      <c r="P92" s="34"/>
      <c r="Q92" s="34"/>
      <c r="R92" s="34"/>
      <c r="S92" s="34"/>
      <c r="T92" s="34"/>
      <c r="U92" s="34"/>
      <c r="V92" s="34"/>
      <c r="W92" s="34"/>
      <c r="X92" s="34"/>
    </row>
    <row r="93" ht="15.75" customHeight="1" spans="1:24">
      <c r="A93" s="34" t="str">
        <f>IFERROR(__xludf.DUMMYFUNCTION("""COMPUTED_VALUE"""),"29/01/2026 13:04:58")</f>
        <v>29/01/2026 13:04:58</v>
      </c>
      <c r="B93" s="63" t="str">
        <f>IFERROR(__xludf.DUMMYFUNCTION("""COMPUTED_VALUE"""),"10")</f>
        <v>10</v>
      </c>
      <c r="C93" s="34" t="str">
        <f>IFERROR(__xludf.DUMMYFUNCTION("""COMPUTED_VALUE"""),"G. A. G. D. S")</f>
        <v>G. A. G. D. S</v>
      </c>
      <c r="D93" s="34" t="str">
        <f>IFERROR(__xludf.DUMMYFUNCTION("""COMPUTED_VALUE"""),"19/02/2023")</f>
        <v>19/02/2023</v>
      </c>
      <c r="E93" s="34" t="str">
        <f>IFERROR(__xludf.DUMMYFUNCTION("""COMPUTED_VALUE"""),"184******99")</f>
        <v>184******99</v>
      </c>
      <c r="F93" s="34" t="str">
        <f>IFERROR(__xludf.DUMMYFUNCTION("""COMPUTED_VALUE"""),"INFANTIL 3")</f>
        <v>INFANTIL 3</v>
      </c>
      <c r="G93" s="65" t="str">
        <f>IFERROR(__xludf.DUMMYFUNCTION("""COMPUTED_VALUE"""),"CEMEI PROFESSORA LINDOMAR DOMINGOS DA SILVA ANJOS")</f>
        <v>CEMEI PROFESSORA LINDOMAR DOMINGOS DA SILVA ANJOS</v>
      </c>
      <c r="H93" s="34"/>
      <c r="I93" s="34"/>
      <c r="J93" s="34"/>
      <c r="K93" s="34"/>
      <c r="L93" s="34"/>
      <c r="M93" s="34"/>
      <c r="N93" s="34"/>
      <c r="O93" s="34"/>
      <c r="P93" s="34"/>
      <c r="Q93" s="34"/>
      <c r="R93" s="34"/>
      <c r="S93" s="34"/>
      <c r="T93" s="34"/>
      <c r="U93" s="34"/>
      <c r="V93" s="34"/>
      <c r="W93" s="34"/>
      <c r="X93" s="34"/>
    </row>
    <row r="94" ht="15.75" customHeight="1" spans="1:24">
      <c r="A94" s="34" t="str">
        <f>IFERROR(__xludf.DUMMYFUNCTION("""COMPUTED_VALUE"""),"29/01/2026 14:26:01")</f>
        <v>29/01/2026 14:26:01</v>
      </c>
      <c r="B94" s="63" t="str">
        <f>IFERROR(__xludf.DUMMYFUNCTION("""COMPUTED_VALUE"""),"11")</f>
        <v>11</v>
      </c>
      <c r="C94" s="34" t="str">
        <f>IFERROR(__xludf.DUMMYFUNCTION("""COMPUTED_VALUE"""),"I. M. C. G")</f>
        <v>I. M. C. G</v>
      </c>
      <c r="D94" s="34" t="str">
        <f>IFERROR(__xludf.DUMMYFUNCTION("""COMPUTED_VALUE"""),"18/02/2023")</f>
        <v>18/02/2023</v>
      </c>
      <c r="E94" s="34" t="str">
        <f>IFERROR(__xludf.DUMMYFUNCTION("""COMPUTED_VALUE"""),"185******45")</f>
        <v>185******45</v>
      </c>
      <c r="F94" s="34" t="str">
        <f>IFERROR(__xludf.DUMMYFUNCTION("""COMPUTED_VALUE"""),"INFANTIL 3")</f>
        <v>INFANTIL 3</v>
      </c>
      <c r="G94" s="34" t="str">
        <f>IFERROR(__xludf.DUMMYFUNCTION("""COMPUTED_VALUE"""),"CEMEI PROFESSORA LINDOMAR DOMINGOS DA SILVA ANJOS")</f>
        <v>CEMEI PROFESSORA LINDOMAR DOMINGOS DA SILVA ANJOS</v>
      </c>
      <c r="H94" s="34"/>
      <c r="I94" s="34"/>
      <c r="J94" s="34"/>
      <c r="K94" s="34"/>
      <c r="L94" s="34"/>
      <c r="M94" s="34"/>
      <c r="N94" s="34"/>
      <c r="O94" s="34"/>
      <c r="P94" s="34"/>
      <c r="Q94" s="34"/>
      <c r="R94" s="34"/>
      <c r="S94" s="34"/>
      <c r="T94" s="34"/>
      <c r="U94" s="34"/>
      <c r="V94" s="34"/>
      <c r="W94" s="34"/>
      <c r="X94" s="34"/>
    </row>
    <row r="95" ht="15.75" customHeight="1" spans="1:24">
      <c r="A95" s="34" t="str">
        <f>IFERROR(__xludf.DUMMYFUNCTION("""COMPUTED_VALUE"""),"01/02/2026 17:23:13")</f>
        <v>01/02/2026 17:23:13</v>
      </c>
      <c r="B95" s="63" t="str">
        <f>IFERROR(__xludf.DUMMYFUNCTION("""COMPUTED_VALUE"""),"12")</f>
        <v>12</v>
      </c>
      <c r="C95" s="34" t="str">
        <f>IFERROR(__xludf.DUMMYFUNCTION("""COMPUTED_VALUE"""),"T. H. G. D. S")</f>
        <v>T. H. G. D. S</v>
      </c>
      <c r="D95" s="34" t="str">
        <f>IFERROR(__xludf.DUMMYFUNCTION("""COMPUTED_VALUE"""),"18/07/2022")</f>
        <v>18/07/2022</v>
      </c>
      <c r="E95" s="34" t="str">
        <f>IFERROR(__xludf.DUMMYFUNCTION("""COMPUTED_VALUE"""),"182******13")</f>
        <v>182******13</v>
      </c>
      <c r="F95" s="34" t="str">
        <f>IFERROR(__xludf.DUMMYFUNCTION("""COMPUTED_VALUE"""),"INFANTIL 3")</f>
        <v>INFANTIL 3</v>
      </c>
      <c r="G95" s="34" t="str">
        <f>IFERROR(__xludf.DUMMYFUNCTION("""COMPUTED_VALUE"""),"CEMEI PROFESSORA LINDOMAR DOMINGOS DA SILVA ANJOS")</f>
        <v>CEMEI PROFESSORA LINDOMAR DOMINGOS DA SILVA ANJOS</v>
      </c>
      <c r="H95" s="34"/>
      <c r="I95" s="34"/>
      <c r="J95" s="34"/>
      <c r="K95" s="34"/>
      <c r="L95" s="34"/>
      <c r="M95" s="34"/>
      <c r="N95" s="34"/>
      <c r="O95" s="34"/>
      <c r="P95" s="34"/>
      <c r="Q95" s="34"/>
      <c r="R95" s="34"/>
      <c r="S95" s="34"/>
      <c r="T95" s="34"/>
      <c r="U95" s="34"/>
      <c r="V95" s="34"/>
      <c r="W95" s="34"/>
      <c r="X95" s="34"/>
    </row>
    <row r="96" ht="15.75" customHeight="1" spans="1:24">
      <c r="A96" s="34" t="str">
        <f>IFERROR(__xludf.DUMMYFUNCTION("""COMPUTED_VALUE"""),"02/02/2026 08:52:36")</f>
        <v>02/02/2026 08:52:36</v>
      </c>
      <c r="B96" s="63" t="str">
        <f>IFERROR(__xludf.DUMMYFUNCTION("""COMPUTED_VALUE"""),"13")</f>
        <v>13</v>
      </c>
      <c r="C96" s="34" t="str">
        <f>IFERROR(__xludf.DUMMYFUNCTION("""COMPUTED_VALUE"""),"N. S. N")</f>
        <v>N. S. N</v>
      </c>
      <c r="D96" s="34" t="str">
        <f>IFERROR(__xludf.DUMMYFUNCTION("""COMPUTED_VALUE"""),"20/09/2022")</f>
        <v>20/09/2022</v>
      </c>
      <c r="E96" s="34" t="str">
        <f>IFERROR(__xludf.DUMMYFUNCTION("""COMPUTED_VALUE"""),"231******48")</f>
        <v>231******48</v>
      </c>
      <c r="F96" s="34" t="str">
        <f>IFERROR(__xludf.DUMMYFUNCTION("""COMPUTED_VALUE"""),"INFANTIL 3")</f>
        <v>INFANTIL 3</v>
      </c>
      <c r="G96" s="34" t="str">
        <f>IFERROR(__xludf.DUMMYFUNCTION("""COMPUTED_VALUE"""),"CEMEI PROFESSORA LINDOMAR DOMINGOS DA SILVA ANJOS")</f>
        <v>CEMEI PROFESSORA LINDOMAR DOMINGOS DA SILVA ANJOS</v>
      </c>
      <c r="H96" s="34"/>
      <c r="I96" s="34"/>
      <c r="J96" s="34"/>
      <c r="K96" s="34"/>
      <c r="L96" s="34"/>
      <c r="M96" s="34"/>
      <c r="N96" s="34"/>
      <c r="O96" s="34"/>
      <c r="P96" s="34"/>
      <c r="Q96" s="34"/>
      <c r="R96" s="34"/>
      <c r="S96" s="34"/>
      <c r="T96" s="34"/>
      <c r="U96" s="34"/>
      <c r="V96" s="34"/>
      <c r="W96" s="34"/>
      <c r="X96" s="34"/>
    </row>
    <row r="97" ht="15.75" customHeight="1" spans="1:24">
      <c r="A97" s="34" t="str">
        <f>IFERROR(__xludf.DUMMYFUNCTION("""COMPUTED_VALUE"""),"04/02/2026 14:48:24")</f>
        <v>04/02/2026 14:48:24</v>
      </c>
      <c r="B97" s="63" t="str">
        <f>IFERROR(__xludf.DUMMYFUNCTION("""COMPUTED_VALUE"""),"14")</f>
        <v>14</v>
      </c>
      <c r="C97" s="34" t="str">
        <f>IFERROR(__xludf.DUMMYFUNCTION("""COMPUTED_VALUE"""),"R. L. A. D. S")</f>
        <v>R. L. A. D. S</v>
      </c>
      <c r="D97" s="34" t="str">
        <f>IFERROR(__xludf.DUMMYFUNCTION("""COMPUTED_VALUE"""),"06/03/2023")</f>
        <v>06/03/2023</v>
      </c>
      <c r="E97" s="34" t="str">
        <f>IFERROR(__xludf.DUMMYFUNCTION("""COMPUTED_VALUE"""),"184******04")</f>
        <v>184******04</v>
      </c>
      <c r="F97" s="34" t="str">
        <f>IFERROR(__xludf.DUMMYFUNCTION("""COMPUTED_VALUE"""),"INFANTIL 3")</f>
        <v>INFANTIL 3</v>
      </c>
      <c r="G97" s="34" t="str">
        <f>IFERROR(__xludf.DUMMYFUNCTION("""COMPUTED_VALUE"""),"CEMEI PROFESSORA LINDOMAR DOMINGOS DA SILVA ANJOS")</f>
        <v>CEMEI PROFESSORA LINDOMAR DOMINGOS DA SILVA ANJOS</v>
      </c>
      <c r="H97" s="34"/>
      <c r="I97" s="34"/>
      <c r="J97" s="34"/>
      <c r="K97" s="34"/>
      <c r="L97" s="34"/>
      <c r="M97" s="34"/>
      <c r="N97" s="34"/>
      <c r="O97" s="34"/>
      <c r="P97" s="34"/>
      <c r="Q97" s="34"/>
      <c r="R97" s="34"/>
      <c r="S97" s="34"/>
      <c r="T97" s="34"/>
      <c r="U97" s="34"/>
      <c r="V97" s="34"/>
      <c r="W97" s="34"/>
      <c r="X97" s="34"/>
    </row>
    <row r="98" ht="15.75" customHeight="1" spans="1:24">
      <c r="A98" s="34" t="str">
        <f>IFERROR(__xludf.DUMMYFUNCTION("""COMPUTED_VALUE"""),"05/02/2026 15:38:25")</f>
        <v>05/02/2026 15:38:25</v>
      </c>
      <c r="B98" s="63" t="str">
        <f>IFERROR(__xludf.DUMMYFUNCTION("""COMPUTED_VALUE"""),"15")</f>
        <v>15</v>
      </c>
      <c r="C98" s="34" t="str">
        <f>IFERROR(__xludf.DUMMYFUNCTION("""COMPUTED_VALUE"""),"A. L. M. S. D. S")</f>
        <v>A. L. M. S. D. S</v>
      </c>
      <c r="D98" s="34" t="str">
        <f>IFERROR(__xludf.DUMMYFUNCTION("""COMPUTED_VALUE"""),"13/06/2022")</f>
        <v>13/06/2022</v>
      </c>
      <c r="E98" s="34" t="str">
        <f>IFERROR(__xludf.DUMMYFUNCTION("""COMPUTED_VALUE"""),"181******47")</f>
        <v>181******47</v>
      </c>
      <c r="F98" s="34" t="str">
        <f>IFERROR(__xludf.DUMMYFUNCTION("""COMPUTED_VALUE"""),"INFANTIL 3")</f>
        <v>INFANTIL 3</v>
      </c>
      <c r="G98" s="34" t="str">
        <f>IFERROR(__xludf.DUMMYFUNCTION("""COMPUTED_VALUE"""),"CEMEI PROFESSORA LINDOMAR DOMINGOS DA SILVA ANJOS")</f>
        <v>CEMEI PROFESSORA LINDOMAR DOMINGOS DA SILVA ANJOS</v>
      </c>
      <c r="H98" s="34"/>
      <c r="I98" s="34"/>
      <c r="J98" s="34"/>
      <c r="K98" s="34"/>
      <c r="L98" s="34"/>
      <c r="M98" s="34"/>
      <c r="N98" s="34"/>
      <c r="O98" s="34"/>
      <c r="P98" s="34"/>
      <c r="Q98" s="34"/>
      <c r="R98" s="34"/>
      <c r="S98" s="34"/>
      <c r="T98" s="34"/>
      <c r="U98" s="34"/>
      <c r="V98" s="34"/>
      <c r="W98" s="34"/>
      <c r="X98" s="34"/>
    </row>
    <row r="99" ht="15.75" customHeight="1" spans="1:24">
      <c r="A99" s="34" t="str">
        <f>IFERROR(__xludf.DUMMYFUNCTION("""COMPUTED_VALUE"""),"06/02/2026 15:36:56")</f>
        <v>06/02/2026 15:36:56</v>
      </c>
      <c r="B99" s="63" t="str">
        <f>IFERROR(__xludf.DUMMYFUNCTION("""COMPUTED_VALUE"""),"16")</f>
        <v>16</v>
      </c>
      <c r="C99" s="34" t="str">
        <f>IFERROR(__xludf.DUMMYFUNCTION("""COMPUTED_VALUE"""),"M. B. D. S")</f>
        <v>M. B. D. S</v>
      </c>
      <c r="D99" s="34" t="str">
        <f>IFERROR(__xludf.DUMMYFUNCTION("""COMPUTED_VALUE"""),"13/11/2022")</f>
        <v>13/11/2022</v>
      </c>
      <c r="E99" s="34" t="str">
        <f>IFERROR(__xludf.DUMMYFUNCTION("""COMPUTED_VALUE"""),"183******21")</f>
        <v>183******21</v>
      </c>
      <c r="F99" s="34" t="str">
        <f>IFERROR(__xludf.DUMMYFUNCTION("""COMPUTED_VALUE"""),"INFANTIL 3")</f>
        <v>INFANTIL 3</v>
      </c>
      <c r="G99" s="34" t="str">
        <f>IFERROR(__xludf.DUMMYFUNCTION("""COMPUTED_VALUE"""),"CEMEI PROFESSORA LINDOMAR DOMINGOS DA SILVA ANJOS")</f>
        <v>CEMEI PROFESSORA LINDOMAR DOMINGOS DA SILVA ANJOS</v>
      </c>
      <c r="H99" s="34"/>
      <c r="I99" s="34"/>
      <c r="J99" s="34"/>
      <c r="K99" s="34"/>
      <c r="L99" s="34"/>
      <c r="M99" s="34"/>
      <c r="N99" s="34"/>
      <c r="O99" s="34"/>
      <c r="P99" s="34"/>
      <c r="Q99" s="34"/>
      <c r="R99" s="34"/>
      <c r="S99" s="34"/>
      <c r="T99" s="34"/>
      <c r="U99" s="34"/>
      <c r="V99" s="34"/>
      <c r="W99" s="34"/>
      <c r="X99" s="34"/>
    </row>
    <row r="100" ht="15.75" customHeight="1" spans="1:24">
      <c r="A100" s="34" t="str">
        <f>IFERROR(__xludf.DUMMYFUNCTION("""COMPUTED_VALUE"""),"10/02/2026 09:04:52")</f>
        <v>10/02/2026 09:04:52</v>
      </c>
      <c r="B100" s="63" t="str">
        <f>IFERROR(__xludf.DUMMYFUNCTION("""COMPUTED_VALUE"""),"17")</f>
        <v>17</v>
      </c>
      <c r="C100" s="34" t="str">
        <f>IFERROR(__xludf.DUMMYFUNCTION("""COMPUTED_VALUE"""),"A. C. M. S. D. S")</f>
        <v>A. C. M. S. D. S</v>
      </c>
      <c r="D100" s="34" t="str">
        <f>IFERROR(__xludf.DUMMYFUNCTION("""COMPUTED_VALUE"""),"13/06/2022")</f>
        <v>13/06/2022</v>
      </c>
      <c r="E100" s="34" t="str">
        <f>IFERROR(__xludf.DUMMYFUNCTION("""COMPUTED_VALUE"""),"181******43")</f>
        <v>181******43</v>
      </c>
      <c r="F100" s="34" t="str">
        <f>IFERROR(__xludf.DUMMYFUNCTION("""COMPUTED_VALUE"""),"INFANTIL 3")</f>
        <v>INFANTIL 3</v>
      </c>
      <c r="G100" s="34" t="str">
        <f>IFERROR(__xludf.DUMMYFUNCTION("""COMPUTED_VALUE"""),"CEMEI PROFESSORA LINDOMAR DOMINGOS DA SILVA ANJOS")</f>
        <v>CEMEI PROFESSORA LINDOMAR DOMINGOS DA SILVA ANJOS</v>
      </c>
      <c r="H100" s="34"/>
      <c r="I100" s="34"/>
      <c r="J100" s="34"/>
      <c r="K100" s="34"/>
      <c r="L100" s="34"/>
      <c r="M100" s="34"/>
      <c r="N100" s="34"/>
      <c r="O100" s="34"/>
      <c r="P100" s="34"/>
      <c r="Q100" s="34"/>
      <c r="R100" s="34"/>
      <c r="S100" s="34"/>
      <c r="T100" s="34"/>
      <c r="U100" s="34"/>
      <c r="V100" s="34"/>
      <c r="W100" s="34"/>
      <c r="X100" s="34"/>
    </row>
    <row r="101" ht="15.75" customHeight="1" spans="1:24">
      <c r="A101" s="34" t="str">
        <f>IFERROR(__xludf.DUMMYFUNCTION("""COMPUTED_VALUE"""),"10/02/2026 10:01:04")</f>
        <v>10/02/2026 10:01:04</v>
      </c>
      <c r="B101" s="63" t="str">
        <f>IFERROR(__xludf.DUMMYFUNCTION("""COMPUTED_VALUE"""),"18")</f>
        <v>18</v>
      </c>
      <c r="C101" s="34" t="str">
        <f>IFERROR(__xludf.DUMMYFUNCTION("""COMPUTED_VALUE"""),"R. V. D. S. M")</f>
        <v>R. V. D. S. M</v>
      </c>
      <c r="D101" s="34" t="str">
        <f>IFERROR(__xludf.DUMMYFUNCTION("""COMPUTED_VALUE"""),"22/08/2022")</f>
        <v>22/08/2022</v>
      </c>
      <c r="E101" s="34" t="str">
        <f>IFERROR(__xludf.DUMMYFUNCTION("""COMPUTED_VALUE"""),"182******47")</f>
        <v>182******47</v>
      </c>
      <c r="F101" s="34" t="str">
        <f>IFERROR(__xludf.DUMMYFUNCTION("""COMPUTED_VALUE"""),"INFANTIL 3")</f>
        <v>INFANTIL 3</v>
      </c>
      <c r="G101" s="34" t="str">
        <f>IFERROR(__xludf.DUMMYFUNCTION("""COMPUTED_VALUE"""),"CEMEI PROFESSORA LINDOMAR DOMINGOS DA SILVA ANJOS")</f>
        <v>CEMEI PROFESSORA LINDOMAR DOMINGOS DA SILVA ANJOS</v>
      </c>
      <c r="H101" s="34"/>
      <c r="I101" s="34"/>
      <c r="J101" s="34"/>
      <c r="K101" s="34"/>
      <c r="L101" s="34"/>
      <c r="M101" s="34"/>
      <c r="N101" s="34"/>
      <c r="O101" s="34"/>
      <c r="P101" s="34"/>
      <c r="Q101" s="34"/>
      <c r="R101" s="34"/>
      <c r="S101" s="34"/>
      <c r="T101" s="34"/>
      <c r="U101" s="34"/>
      <c r="V101" s="34"/>
      <c r="W101" s="34"/>
      <c r="X101" s="34"/>
    </row>
    <row r="102" ht="15.75" customHeight="1" spans="1:24">
      <c r="A102" s="34" t="str">
        <f>IFERROR(__xludf.DUMMYFUNCTION("""COMPUTED_VALUE"""),"19/02/2026 09:51:04")</f>
        <v>19/02/2026 09:51:04</v>
      </c>
      <c r="B102" s="63" t="str">
        <f>IFERROR(__xludf.DUMMYFUNCTION("""COMPUTED_VALUE"""),"19")</f>
        <v>19</v>
      </c>
      <c r="C102" s="34" t="str">
        <f>IFERROR(__xludf.DUMMYFUNCTION("""COMPUTED_VALUE"""),"A. L. B. S")</f>
        <v>A. L. B. S</v>
      </c>
      <c r="D102" s="34" t="str">
        <f>IFERROR(__xludf.DUMMYFUNCTION("""COMPUTED_VALUE"""),"28/08/2022")</f>
        <v>28/08/2022</v>
      </c>
      <c r="E102" s="34" t="str">
        <f>IFERROR(__xludf.DUMMYFUNCTION("""COMPUTED_VALUE"""),"183******41")</f>
        <v>183******41</v>
      </c>
      <c r="F102" s="34" t="str">
        <f>IFERROR(__xludf.DUMMYFUNCTION("""COMPUTED_VALUE"""),"INFANTIL 3")</f>
        <v>INFANTIL 3</v>
      </c>
      <c r="G102" s="34" t="str">
        <f>IFERROR(__xludf.DUMMYFUNCTION("""COMPUTED_VALUE"""),"CEMEI PROFESSORA LINDOMAR DOMINGOS DA SILVA ANJOS")</f>
        <v>CEMEI PROFESSORA LINDOMAR DOMINGOS DA SILVA ANJOS</v>
      </c>
      <c r="H102" s="34"/>
      <c r="I102" s="34"/>
      <c r="J102" s="34"/>
      <c r="K102" s="34"/>
      <c r="L102" s="34"/>
      <c r="M102" s="34"/>
      <c r="N102" s="34"/>
      <c r="O102" s="34"/>
      <c r="P102" s="34"/>
      <c r="Q102" s="34"/>
      <c r="R102" s="34"/>
      <c r="S102" s="34"/>
      <c r="T102" s="34"/>
      <c r="U102" s="34"/>
      <c r="V102" s="34"/>
      <c r="W102" s="34"/>
      <c r="X102" s="34"/>
    </row>
    <row r="103" ht="15.75" customHeight="1" spans="1:24">
      <c r="A103" s="34" t="str">
        <f>IFERROR(__xludf.DUMMYFUNCTION("""COMPUTED_VALUE"""),"19/02/2026 16:10:29")</f>
        <v>19/02/2026 16:10:29</v>
      </c>
      <c r="B103" s="63" t="str">
        <f>IFERROR(__xludf.DUMMYFUNCTION("""COMPUTED_VALUE"""),"20")</f>
        <v>20</v>
      </c>
      <c r="C103" s="34" t="str">
        <f>IFERROR(__xludf.DUMMYFUNCTION("""COMPUTED_VALUE"""),"L. F. L")</f>
        <v>L. F. L</v>
      </c>
      <c r="D103" s="34" t="str">
        <f>IFERROR(__xludf.DUMMYFUNCTION("""COMPUTED_VALUE"""),"19/07/2022")</f>
        <v>19/07/2022</v>
      </c>
      <c r="E103" s="34" t="str">
        <f>IFERROR(__xludf.DUMMYFUNCTION("""COMPUTED_VALUE"""),"182******54")</f>
        <v>182******54</v>
      </c>
      <c r="F103" s="34" t="str">
        <f>IFERROR(__xludf.DUMMYFUNCTION("""COMPUTED_VALUE"""),"INFANTIL 3")</f>
        <v>INFANTIL 3</v>
      </c>
      <c r="G103" s="34" t="str">
        <f>IFERROR(__xludf.DUMMYFUNCTION("""COMPUTED_VALUE"""),"CEMEI PROFESSORA LINDOMAR DOMINGOS DA SILVA ANJOS")</f>
        <v>CEMEI PROFESSORA LINDOMAR DOMINGOS DA SILVA ANJOS</v>
      </c>
      <c r="H103" s="34"/>
      <c r="I103" s="34"/>
      <c r="J103" s="34"/>
      <c r="K103" s="34"/>
      <c r="L103" s="34"/>
      <c r="M103" s="34"/>
      <c r="N103" s="34"/>
      <c r="O103" s="34"/>
      <c r="P103" s="34"/>
      <c r="Q103" s="34"/>
      <c r="R103" s="34"/>
      <c r="S103" s="34"/>
      <c r="T103" s="34"/>
      <c r="U103" s="34"/>
      <c r="V103" s="34"/>
      <c r="W103" s="34"/>
      <c r="X103" s="34"/>
    </row>
    <row r="104" ht="15.75" customHeight="1" spans="1:24">
      <c r="A104" s="34" t="str">
        <f>IFERROR(__xludf.DUMMYFUNCTION("""COMPUTED_VALUE"""),"03/03/2026 13:51:57")</f>
        <v>03/03/2026 13:51:57</v>
      </c>
      <c r="B104" s="63" t="str">
        <f>IFERROR(__xludf.DUMMYFUNCTION("""COMPUTED_VALUE"""),"21")</f>
        <v>21</v>
      </c>
      <c r="C104" s="34" t="str">
        <f>IFERROR(__xludf.DUMMYFUNCTION("""COMPUTED_VALUE"""),"T. R. D. D. M")</f>
        <v>T. R. D. D. M</v>
      </c>
      <c r="D104" s="34" t="str">
        <f>IFERROR(__xludf.DUMMYFUNCTION("""COMPUTED_VALUE"""),"15/03/2023")</f>
        <v>15/03/2023</v>
      </c>
      <c r="E104" s="34" t="str">
        <f>IFERROR(__xludf.DUMMYFUNCTION("""COMPUTED_VALUE"""),"184******07")</f>
        <v>184******07</v>
      </c>
      <c r="F104" s="34" t="str">
        <f>IFERROR(__xludf.DUMMYFUNCTION("""COMPUTED_VALUE"""),"INFANTIL 3")</f>
        <v>INFANTIL 3</v>
      </c>
      <c r="G104" s="34" t="str">
        <f>IFERROR(__xludf.DUMMYFUNCTION("""COMPUTED_VALUE"""),"CEMEI PROFESSORA LINDOMAR DOMINGOS DA SILVA ANJOS")</f>
        <v>CEMEI PROFESSORA LINDOMAR DOMINGOS DA SILVA ANJOS</v>
      </c>
      <c r="H104" s="34"/>
      <c r="I104" s="34"/>
      <c r="J104" s="34"/>
      <c r="K104" s="34"/>
      <c r="L104" s="34"/>
      <c r="M104" s="34"/>
      <c r="N104" s="34"/>
      <c r="O104" s="34"/>
      <c r="P104" s="34"/>
      <c r="Q104" s="34"/>
      <c r="R104" s="34"/>
      <c r="S104" s="34"/>
      <c r="T104" s="34"/>
      <c r="U104" s="34"/>
      <c r="V104" s="34"/>
      <c r="W104" s="34"/>
      <c r="X104" s="34"/>
    </row>
    <row r="105" ht="15.75" customHeight="1" spans="1:24">
      <c r="A105" s="34" t="str">
        <f>IFERROR(__xludf.DUMMYFUNCTION("""COMPUTED_VALUE"""),"24/03/2026 15:33:58")</f>
        <v>24/03/2026 15:33:58</v>
      </c>
      <c r="B105" s="63" t="str">
        <f>IFERROR(__xludf.DUMMYFUNCTION("""COMPUTED_VALUE"""),"22")</f>
        <v>22</v>
      </c>
      <c r="C105" s="34" t="str">
        <f>IFERROR(__xludf.DUMMYFUNCTION("""COMPUTED_VALUE"""),"A. V. C. D. S")</f>
        <v>A. V. C. D. S</v>
      </c>
      <c r="D105" s="34" t="str">
        <f>IFERROR(__xludf.DUMMYFUNCTION("""COMPUTED_VALUE"""),"06/10/2022")</f>
        <v>06/10/2022</v>
      </c>
      <c r="E105" s="34" t="str">
        <f>IFERROR(__xludf.DUMMYFUNCTION("""COMPUTED_VALUE"""),"093******73")</f>
        <v>093******73</v>
      </c>
      <c r="F105" s="34" t="str">
        <f>IFERROR(__xludf.DUMMYFUNCTION("""COMPUTED_VALUE"""),"INFANTIL 3")</f>
        <v>INFANTIL 3</v>
      </c>
      <c r="G105" s="34" t="str">
        <f>IFERROR(__xludf.DUMMYFUNCTION("""COMPUTED_VALUE"""),"CEMEI PROFESSORA LINDOMAR DOMINGOS DA SILVA ANJOS")</f>
        <v>CEMEI PROFESSORA LINDOMAR DOMINGOS DA SILVA ANJOS</v>
      </c>
      <c r="H105" s="34"/>
      <c r="I105" s="34"/>
      <c r="J105" s="34"/>
      <c r="K105" s="34"/>
      <c r="L105" s="34"/>
      <c r="M105" s="34"/>
      <c r="N105" s="34"/>
      <c r="O105" s="34"/>
      <c r="P105" s="34"/>
      <c r="Q105" s="34"/>
      <c r="R105" s="34"/>
      <c r="S105" s="34"/>
      <c r="T105" s="34"/>
      <c r="U105" s="34"/>
      <c r="V105" s="34"/>
      <c r="W105" s="34"/>
      <c r="X105" s="34"/>
    </row>
    <row r="106" ht="15.75" customHeight="1" spans="1:24">
      <c r="A106" s="34" t="str">
        <f>IFERROR(__xludf.DUMMYFUNCTION("""COMPUTED_VALUE"""),"09/04/2026 12:42:59")</f>
        <v>09/04/2026 12:42:59</v>
      </c>
      <c r="B106" s="63" t="str">
        <f>IFERROR(__xludf.DUMMYFUNCTION("""COMPUTED_VALUE"""),"23")</f>
        <v>23</v>
      </c>
      <c r="C106" s="34" t="str">
        <f>IFERROR(__xludf.DUMMYFUNCTION("""COMPUTED_VALUE"""),"T. E. D. S")</f>
        <v>T. E. D. S</v>
      </c>
      <c r="D106" s="34" t="str">
        <f>IFERROR(__xludf.DUMMYFUNCTION("""COMPUTED_VALUE"""),"28/09/2022")</f>
        <v>28/09/2022</v>
      </c>
      <c r="E106" s="34" t="str">
        <f>IFERROR(__xludf.DUMMYFUNCTION("""COMPUTED_VALUE"""),"183******73")</f>
        <v>183******73</v>
      </c>
      <c r="F106" s="34" t="str">
        <f>IFERROR(__xludf.DUMMYFUNCTION("""COMPUTED_VALUE"""),"INFANTIL 3")</f>
        <v>INFANTIL 3</v>
      </c>
      <c r="G106" s="34" t="str">
        <f>IFERROR(__xludf.DUMMYFUNCTION("""COMPUTED_VALUE"""),"CEMEI PROFESSORA LINDOMAR DOMINGOS DA SILVA ANJOS")</f>
        <v>CEMEI PROFESSORA LINDOMAR DOMINGOS DA SILVA ANJOS</v>
      </c>
      <c r="H106" s="34"/>
      <c r="I106" s="34"/>
      <c r="J106" s="34"/>
      <c r="K106" s="34"/>
      <c r="L106" s="34"/>
      <c r="M106" s="34"/>
      <c r="N106" s="34"/>
      <c r="O106" s="34"/>
      <c r="P106" s="34"/>
      <c r="Q106" s="34"/>
      <c r="R106" s="34"/>
      <c r="S106" s="34"/>
      <c r="T106" s="34"/>
      <c r="U106" s="34"/>
      <c r="V106" s="34"/>
      <c r="W106" s="34"/>
      <c r="X106" s="34"/>
    </row>
    <row r="107" ht="15.75" customHeight="1" spans="1:24">
      <c r="A107" s="34" t="str">
        <f>IFERROR(__xludf.DUMMYFUNCTION("""COMPUTED_VALUE"""),"15/04/2026 12:12:34")</f>
        <v>15/04/2026 12:12:34</v>
      </c>
      <c r="B107" s="63" t="str">
        <f>IFERROR(__xludf.DUMMYFUNCTION("""COMPUTED_VALUE"""),"24")</f>
        <v>24</v>
      </c>
      <c r="C107" s="34" t="str">
        <f>IFERROR(__xludf.DUMMYFUNCTION("""COMPUTED_VALUE"""),"L. M. M. D. C")</f>
        <v>L. M. M. D. C</v>
      </c>
      <c r="D107" s="34" t="str">
        <f>IFERROR(__xludf.DUMMYFUNCTION("""COMPUTED_VALUE"""),"15/05/2022")</f>
        <v>15/05/2022</v>
      </c>
      <c r="E107" s="34" t="str">
        <f>IFERROR(__xludf.DUMMYFUNCTION("""COMPUTED_VALUE"""),"181******39")</f>
        <v>181******39</v>
      </c>
      <c r="F107" s="34" t="str">
        <f>IFERROR(__xludf.DUMMYFUNCTION("""COMPUTED_VALUE"""),"INFANTIL 3")</f>
        <v>INFANTIL 3</v>
      </c>
      <c r="G107" s="34" t="str">
        <f>IFERROR(__xludf.DUMMYFUNCTION("""COMPUTED_VALUE"""),"CEMEI PROFESSORA LINDOMAR DOMINGOS DA SILVA ANJOS")</f>
        <v>CEMEI PROFESSORA LINDOMAR DOMINGOS DA SILVA ANJOS</v>
      </c>
      <c r="H107" s="34"/>
      <c r="I107" s="34"/>
      <c r="J107" s="34"/>
      <c r="K107" s="34"/>
      <c r="L107" s="34"/>
      <c r="M107" s="34"/>
      <c r="N107" s="34"/>
      <c r="O107" s="34"/>
      <c r="P107" s="34"/>
      <c r="Q107" s="34"/>
      <c r="R107" s="34"/>
      <c r="S107" s="34"/>
      <c r="T107" s="34"/>
      <c r="U107" s="34"/>
      <c r="V107" s="34"/>
      <c r="W107" s="34"/>
      <c r="X107" s="34"/>
    </row>
    <row r="108" ht="15.75" customHeight="1" spans="1:24">
      <c r="A108" s="34" t="str">
        <f>IFERROR(__xludf.DUMMYFUNCTION("""COMPUTED_VALUE"""),"15/04/2026 20:08:01")</f>
        <v>15/04/2026 20:08:01</v>
      </c>
      <c r="B108" s="63" t="str">
        <f>IFERROR(__xludf.DUMMYFUNCTION("""COMPUTED_VALUE"""),"25")</f>
        <v>25</v>
      </c>
      <c r="C108" s="34" t="str">
        <f>IFERROR(__xludf.DUMMYFUNCTION("""COMPUTED_VALUE"""),"M. L. V. D. S")</f>
        <v>M. L. V. D. S</v>
      </c>
      <c r="D108" s="34" t="str">
        <f>IFERROR(__xludf.DUMMYFUNCTION("""COMPUTED_VALUE"""),"06/03/2023")</f>
        <v>06/03/2023</v>
      </c>
      <c r="E108" s="34" t="str">
        <f>IFERROR(__xludf.DUMMYFUNCTION("""COMPUTED_VALUE"""),"184******09")</f>
        <v>184******09</v>
      </c>
      <c r="F108" s="34" t="str">
        <f>IFERROR(__xludf.DUMMYFUNCTION("""COMPUTED_VALUE"""),"INFANTIL 3")</f>
        <v>INFANTIL 3</v>
      </c>
      <c r="G108" s="34" t="str">
        <f>IFERROR(__xludf.DUMMYFUNCTION("""COMPUTED_VALUE"""),"CEMEI PROFESSORA LINDOMAR DOMINGOS DA SILVA ANJOS")</f>
        <v>CEMEI PROFESSORA LINDOMAR DOMINGOS DA SILVA ANJOS</v>
      </c>
      <c r="H108" s="34"/>
      <c r="I108" s="34"/>
      <c r="J108" s="34"/>
      <c r="K108" s="34"/>
      <c r="L108" s="34"/>
      <c r="M108" s="34"/>
      <c r="N108" s="34"/>
      <c r="O108" s="34"/>
      <c r="P108" s="34"/>
      <c r="Q108" s="34"/>
      <c r="R108" s="34"/>
      <c r="S108" s="34"/>
      <c r="T108" s="34"/>
      <c r="U108" s="34"/>
      <c r="V108" s="34"/>
      <c r="W108" s="34"/>
      <c r="X108" s="34"/>
    </row>
    <row r="109" ht="15.75" customHeight="1" spans="1:24">
      <c r="A109" s="34" t="str">
        <f>IFERROR(__xludf.DUMMYFUNCTION("""COMPUTED_VALUE"""),"24/04/2026 15:30:49")</f>
        <v>24/04/2026 15:30:49</v>
      </c>
      <c r="B109" s="63" t="str">
        <f>IFERROR(__xludf.DUMMYFUNCTION("""COMPUTED_VALUE"""),"26")</f>
        <v>26</v>
      </c>
      <c r="C109" s="34" t="str">
        <f>IFERROR(__xludf.DUMMYFUNCTION("""COMPUTED_VALUE"""),"L. G. D. S. M")</f>
        <v>L. G. D. S. M</v>
      </c>
      <c r="D109" s="34" t="str">
        <f>IFERROR(__xludf.DUMMYFUNCTION("""COMPUTED_VALUE"""),"27/07/2022")</f>
        <v>27/07/2022</v>
      </c>
      <c r="E109" s="34" t="str">
        <f>IFERROR(__xludf.DUMMYFUNCTION("""COMPUTED_VALUE"""),"182******80")</f>
        <v>182******80</v>
      </c>
      <c r="F109" s="34" t="str">
        <f>IFERROR(__xludf.DUMMYFUNCTION("""COMPUTED_VALUE"""),"INFANTIL 3")</f>
        <v>INFANTIL 3</v>
      </c>
      <c r="G109" s="34" t="str">
        <f>IFERROR(__xludf.DUMMYFUNCTION("""COMPUTED_VALUE"""),"CEMEI PROFESSORA LINDOMAR DOMINGOS DA SILVA ANJOS")</f>
        <v>CEMEI PROFESSORA LINDOMAR DOMINGOS DA SILVA ANJOS</v>
      </c>
      <c r="H109" s="34"/>
      <c r="I109" s="34"/>
      <c r="J109" s="34"/>
      <c r="K109" s="34"/>
      <c r="L109" s="34"/>
      <c r="M109" s="34"/>
      <c r="N109" s="34"/>
      <c r="O109" s="34"/>
      <c r="P109" s="34"/>
      <c r="Q109" s="34"/>
      <c r="R109" s="34"/>
      <c r="S109" s="34"/>
      <c r="T109" s="34"/>
      <c r="U109" s="34"/>
      <c r="V109" s="34"/>
      <c r="W109" s="34"/>
      <c r="X109" s="34"/>
    </row>
    <row r="110" ht="15.75" customHeight="1" spans="1:24">
      <c r="A110" s="34" t="str">
        <f>IFERROR(__xludf.DUMMYFUNCTION("""COMPUTED_VALUE"""),"13/05/2026 09:51:31")</f>
        <v>13/05/2026 09:51:31</v>
      </c>
      <c r="B110" s="63" t="str">
        <f>IFERROR(__xludf.DUMMYFUNCTION("""COMPUTED_VALUE"""),"27")</f>
        <v>27</v>
      </c>
      <c r="C110" s="34" t="str">
        <f>IFERROR(__xludf.DUMMYFUNCTION("""COMPUTED_VALUE"""),"A. T. M. D. N")</f>
        <v>A. T. M. D. N</v>
      </c>
      <c r="D110" s="34" t="str">
        <f>IFERROR(__xludf.DUMMYFUNCTION("""COMPUTED_VALUE"""),"23/02/2023")</f>
        <v>23/02/2023</v>
      </c>
      <c r="E110" s="34" t="str">
        <f>IFERROR(__xludf.DUMMYFUNCTION("""COMPUTED_VALUE"""),"608******29")</f>
        <v>608******29</v>
      </c>
      <c r="F110" s="34" t="str">
        <f>IFERROR(__xludf.DUMMYFUNCTION("""COMPUTED_VALUE"""),"INFANTIL 3")</f>
        <v>INFANTIL 3</v>
      </c>
      <c r="G110" s="34" t="str">
        <f>IFERROR(__xludf.DUMMYFUNCTION("""COMPUTED_VALUE"""),"CEMEI PROFESSORA LINDOMAR DOMINGOS DA SILVA ANJOS")</f>
        <v>CEMEI PROFESSORA LINDOMAR DOMINGOS DA SILVA ANJOS</v>
      </c>
      <c r="H110" s="34"/>
      <c r="I110" s="34"/>
      <c r="J110" s="34"/>
      <c r="K110" s="34"/>
      <c r="L110" s="34"/>
      <c r="M110" s="34"/>
      <c r="N110" s="34"/>
      <c r="O110" s="34"/>
      <c r="P110" s="34"/>
      <c r="Q110" s="34"/>
      <c r="R110" s="34"/>
      <c r="S110" s="34"/>
      <c r="T110" s="34"/>
      <c r="U110" s="34"/>
      <c r="V110" s="34"/>
      <c r="W110" s="34"/>
      <c r="X110" s="34"/>
    </row>
    <row r="111" ht="15.75" customHeight="1" spans="1:24">
      <c r="A111" s="34" t="str">
        <f>IFERROR(__xludf.DUMMYFUNCTION("""COMPUTED_VALUE"""),"23/05/2026 20:29:57")</f>
        <v>23/05/2026 20:29:57</v>
      </c>
      <c r="B111" s="63" t="str">
        <f>IFERROR(__xludf.DUMMYFUNCTION("""COMPUTED_VALUE"""),"28")</f>
        <v>28</v>
      </c>
      <c r="C111" s="34" t="str">
        <f>IFERROR(__xludf.DUMMYFUNCTION("""COMPUTED_VALUE"""),"H. M. A. T. M")</f>
        <v>H. M. A. T. M</v>
      </c>
      <c r="D111" s="34" t="str">
        <f>IFERROR(__xludf.DUMMYFUNCTION("""COMPUTED_VALUE"""),"03/11/2022")</f>
        <v>03/11/2022</v>
      </c>
      <c r="E111" s="34" t="str">
        <f>IFERROR(__xludf.DUMMYFUNCTION("""COMPUTED_VALUE"""),"183******40")</f>
        <v>183******40</v>
      </c>
      <c r="F111" s="34" t="str">
        <f>IFERROR(__xludf.DUMMYFUNCTION("""COMPUTED_VALUE"""),"INFANTIL 3")</f>
        <v>INFANTIL 3</v>
      </c>
      <c r="G111" s="34" t="str">
        <f>IFERROR(__xludf.DUMMYFUNCTION("""COMPUTED_VALUE"""),"CEMEI PROFESSORA LINDOMAR DOMINGOS DA SILVA ANJOS")</f>
        <v>CEMEI PROFESSORA LINDOMAR DOMINGOS DA SILVA ANJOS</v>
      </c>
      <c r="H111" s="34"/>
      <c r="I111" s="34"/>
      <c r="J111" s="34"/>
      <c r="K111" s="34"/>
      <c r="L111" s="34"/>
      <c r="M111" s="34"/>
      <c r="N111" s="34"/>
      <c r="O111" s="34"/>
      <c r="P111" s="34"/>
      <c r="Q111" s="34"/>
      <c r="R111" s="34"/>
      <c r="S111" s="34"/>
      <c r="T111" s="34"/>
      <c r="U111" s="34"/>
      <c r="V111" s="34"/>
      <c r="W111" s="34"/>
      <c r="X111" s="34"/>
    </row>
    <row r="112" ht="15.75" customHeight="1" spans="1:24">
      <c r="A112" s="34" t="str">
        <f>IFERROR(__xludf.DUMMYFUNCTION("""COMPUTED_VALUE"""),"01/06/2026 08:29:45")</f>
        <v>01/06/2026 08:29:45</v>
      </c>
      <c r="B112" s="63" t="str">
        <f>IFERROR(__xludf.DUMMYFUNCTION("""COMPUTED_VALUE"""),"29")</f>
        <v>29</v>
      </c>
      <c r="C112" s="34" t="str">
        <f>IFERROR(__xludf.DUMMYFUNCTION("""COMPUTED_VALUE"""),"B. D. D. A")</f>
        <v>B. D. D. A</v>
      </c>
      <c r="D112" s="34" t="str">
        <f>IFERROR(__xludf.DUMMYFUNCTION("""COMPUTED_VALUE"""),"29/07/2022")</f>
        <v>29/07/2022</v>
      </c>
      <c r="E112" s="34" t="str">
        <f>IFERROR(__xludf.DUMMYFUNCTION("""COMPUTED_VALUE"""),"182******60")</f>
        <v>182******60</v>
      </c>
      <c r="F112" s="34" t="str">
        <f>IFERROR(__xludf.DUMMYFUNCTION("""COMPUTED_VALUE"""),"INFANTIL 3")</f>
        <v>INFANTIL 3</v>
      </c>
      <c r="G112" s="34" t="str">
        <f>IFERROR(__xludf.DUMMYFUNCTION("""COMPUTED_VALUE"""),"CEMEI PROFESSORA LINDOMAR DOMINGOS DA SILVA ANJOS")</f>
        <v>CEMEI PROFESSORA LINDOMAR DOMINGOS DA SILVA ANJOS</v>
      </c>
      <c r="H112" s="34"/>
      <c r="I112" s="34"/>
      <c r="J112" s="34"/>
      <c r="K112" s="34"/>
      <c r="L112" s="34"/>
      <c r="M112" s="34"/>
      <c r="N112" s="34"/>
      <c r="O112" s="34"/>
      <c r="P112" s="34"/>
      <c r="Q112" s="34"/>
      <c r="R112" s="34"/>
      <c r="S112" s="34"/>
      <c r="T112" s="34"/>
      <c r="U112" s="34"/>
      <c r="V112" s="34"/>
      <c r="W112" s="34"/>
      <c r="X112" s="34"/>
    </row>
    <row r="113" ht="15.75" customHeight="1" spans="1:24">
      <c r="A113" s="34" t="str">
        <f>IFERROR(__xludf.DUMMYFUNCTION("""COMPUTED_VALUE"""),"28/01/2026 21:43:18")</f>
        <v>28/01/2026 21:43:18</v>
      </c>
      <c r="B113" s="63" t="str">
        <f>IFERROR(__xludf.DUMMYFUNCTION("""COMPUTED_VALUE"""),"1")</f>
        <v>1</v>
      </c>
      <c r="C113" s="34" t="str">
        <f>IFERROR(__xludf.DUMMYFUNCTION("""COMPUTED_VALUE"""),"A. D. D. O. A")</f>
        <v>A. D. D. O. A</v>
      </c>
      <c r="D113" s="34" t="str">
        <f>IFERROR(__xludf.DUMMYFUNCTION("""COMPUTED_VALUE"""),"10/10/2024")</f>
        <v>10/10/2024</v>
      </c>
      <c r="E113" s="34" t="str">
        <f>IFERROR(__xludf.DUMMYFUNCTION("""COMPUTED_VALUE"""),"005******63")</f>
        <v>005******63</v>
      </c>
      <c r="F113" s="34" t="str">
        <f>IFERROR(__xludf.DUMMYFUNCTION("""COMPUTED_VALUE"""),"INFANTIL 1")</f>
        <v>INFANTIL 1</v>
      </c>
      <c r="G113" s="34" t="str">
        <f>IFERROR(__xludf.DUMMYFUNCTION("""COMPUTED_VALUE"""),"CEMEI SILVIA MARIA DE OLIVEIRA")</f>
        <v>CEMEI SILVIA MARIA DE OLIVEIRA</v>
      </c>
      <c r="H113" s="34"/>
      <c r="I113" s="34"/>
      <c r="J113" s="34"/>
      <c r="K113" s="34"/>
      <c r="L113" s="34"/>
      <c r="M113" s="34"/>
      <c r="N113" s="34"/>
      <c r="O113" s="34"/>
      <c r="P113" s="34"/>
      <c r="Q113" s="34"/>
      <c r="R113" s="34"/>
      <c r="S113" s="34"/>
      <c r="T113" s="34"/>
      <c r="U113" s="34"/>
      <c r="V113" s="34"/>
      <c r="W113" s="34"/>
      <c r="X113" s="34"/>
    </row>
    <row r="114" ht="15.75" customHeight="1" spans="1:24">
      <c r="A114" s="34" t="str">
        <f>IFERROR(__xludf.DUMMYFUNCTION("""COMPUTED_VALUE"""),"08/05/2026 18:02:36")</f>
        <v>08/05/2026 18:02:36</v>
      </c>
      <c r="B114" s="63" t="str">
        <f>IFERROR(__xludf.DUMMYFUNCTION("""COMPUTED_VALUE"""),"1")</f>
        <v>1</v>
      </c>
      <c r="C114" s="34" t="str">
        <f>IFERROR(__xludf.DUMMYFUNCTION("""COMPUTED_VALUE"""),"A. G. L. D. S")</f>
        <v>A. G. L. D. S</v>
      </c>
      <c r="D114" s="34" t="str">
        <f>IFERROR(__xludf.DUMMYFUNCTION("""COMPUTED_VALUE"""),"14/03/2024")</f>
        <v>14/03/2024</v>
      </c>
      <c r="E114" s="34" t="str">
        <f>IFERROR(__xludf.DUMMYFUNCTION("""COMPUTED_VALUE"""),"002******44")</f>
        <v>002******44</v>
      </c>
      <c r="F114" s="34" t="str">
        <f>IFERROR(__xludf.DUMMYFUNCTION("""COMPUTED_VALUE"""),"INFANTIL 2")</f>
        <v>INFANTIL 2</v>
      </c>
      <c r="G114" s="34" t="str">
        <f>IFERROR(__xludf.DUMMYFUNCTION("""COMPUTED_VALUE"""),"CEMEI SILVIA MARIA DE OLIVEIRA")</f>
        <v>CEMEI SILVIA MARIA DE OLIVEIRA</v>
      </c>
      <c r="H114" s="34"/>
      <c r="I114" s="34"/>
      <c r="J114" s="34"/>
      <c r="K114" s="34"/>
      <c r="L114" s="34"/>
      <c r="M114" s="34"/>
      <c r="N114" s="34"/>
      <c r="O114" s="34"/>
      <c r="P114" s="34"/>
      <c r="Q114" s="34"/>
      <c r="R114" s="34"/>
      <c r="S114" s="34"/>
      <c r="T114" s="34"/>
      <c r="U114" s="34"/>
      <c r="V114" s="34"/>
      <c r="W114" s="34"/>
      <c r="X114" s="34"/>
    </row>
    <row r="115" ht="15.75" customHeight="1" spans="1:24">
      <c r="A115" s="34"/>
      <c r="B115" s="63"/>
      <c r="C115" s="34"/>
      <c r="D115" s="34"/>
      <c r="E115" s="34"/>
      <c r="F115" s="34"/>
      <c r="G115" s="34"/>
      <c r="H115" s="34"/>
      <c r="I115" s="34"/>
      <c r="J115" s="34"/>
      <c r="K115" s="34"/>
      <c r="L115" s="34"/>
      <c r="M115" s="34"/>
      <c r="N115" s="34"/>
      <c r="O115" s="34"/>
      <c r="P115" s="34"/>
      <c r="Q115" s="34"/>
      <c r="R115" s="34"/>
      <c r="S115" s="34"/>
      <c r="T115" s="34"/>
      <c r="U115" s="34"/>
      <c r="V115" s="34"/>
      <c r="W115" s="34"/>
      <c r="X115" s="34"/>
    </row>
    <row r="116" ht="15.75" customHeight="1" spans="1:24">
      <c r="A116" s="34"/>
      <c r="B116" s="63"/>
      <c r="C116" s="34"/>
      <c r="D116" s="34"/>
      <c r="E116" s="34"/>
      <c r="F116" s="34"/>
      <c r="G116" s="34"/>
      <c r="H116" s="34"/>
      <c r="I116" s="34"/>
      <c r="J116" s="34"/>
      <c r="K116" s="34"/>
      <c r="L116" s="34"/>
      <c r="M116" s="34"/>
      <c r="N116" s="34"/>
      <c r="O116" s="34"/>
      <c r="P116" s="34"/>
      <c r="Q116" s="34"/>
      <c r="R116" s="34"/>
      <c r="S116" s="34"/>
      <c r="T116" s="34"/>
      <c r="U116" s="34"/>
      <c r="V116" s="34"/>
      <c r="W116" s="34"/>
      <c r="X116" s="34"/>
    </row>
    <row r="117" ht="15.75" customHeight="1" spans="1:24">
      <c r="A117" s="34"/>
      <c r="B117" s="63"/>
      <c r="C117" s="34"/>
      <c r="D117" s="34"/>
      <c r="E117" s="34"/>
      <c r="F117" s="34"/>
      <c r="G117" s="34"/>
      <c r="H117" s="34"/>
      <c r="I117" s="34"/>
      <c r="J117" s="34"/>
      <c r="K117" s="34"/>
      <c r="L117" s="34"/>
      <c r="M117" s="34"/>
      <c r="N117" s="34"/>
      <c r="O117" s="34"/>
      <c r="P117" s="34"/>
      <c r="Q117" s="34"/>
      <c r="R117" s="34"/>
      <c r="S117" s="34"/>
      <c r="T117" s="34"/>
      <c r="U117" s="34"/>
      <c r="V117" s="34"/>
      <c r="W117" s="34"/>
      <c r="X117" s="34"/>
    </row>
    <row r="118" ht="15.75" customHeight="1" spans="1:24">
      <c r="A118" s="34"/>
      <c r="B118" s="63"/>
      <c r="C118" s="34"/>
      <c r="D118" s="34"/>
      <c r="E118" s="34"/>
      <c r="F118" s="34"/>
      <c r="G118" s="34"/>
      <c r="H118" s="34"/>
      <c r="I118" s="34"/>
      <c r="J118" s="34"/>
      <c r="K118" s="34"/>
      <c r="L118" s="34"/>
      <c r="M118" s="34"/>
      <c r="N118" s="34"/>
      <c r="O118" s="34"/>
      <c r="P118" s="34"/>
      <c r="Q118" s="34"/>
      <c r="R118" s="34"/>
      <c r="S118" s="34"/>
      <c r="T118" s="34"/>
      <c r="U118" s="34"/>
      <c r="V118" s="34"/>
      <c r="W118" s="34"/>
      <c r="X118" s="34"/>
    </row>
    <row r="119" ht="15.75" customHeight="1" spans="1:24">
      <c r="A119" s="34"/>
      <c r="B119" s="63"/>
      <c r="C119" s="34"/>
      <c r="D119" s="34"/>
      <c r="E119" s="34"/>
      <c r="F119" s="34"/>
      <c r="G119" s="34"/>
      <c r="H119" s="34"/>
      <c r="I119" s="34"/>
      <c r="J119" s="34"/>
      <c r="K119" s="34"/>
      <c r="L119" s="34"/>
      <c r="M119" s="34"/>
      <c r="N119" s="34"/>
      <c r="O119" s="34"/>
      <c r="P119" s="34"/>
      <c r="Q119" s="34"/>
      <c r="R119" s="34"/>
      <c r="S119" s="34"/>
      <c r="T119" s="34"/>
      <c r="U119" s="34"/>
      <c r="V119" s="34"/>
      <c r="W119" s="34"/>
      <c r="X119" s="34"/>
    </row>
    <row r="120" ht="15.75" customHeight="1" spans="1:24">
      <c r="A120" s="34"/>
      <c r="B120" s="63"/>
      <c r="C120" s="34"/>
      <c r="D120" s="34"/>
      <c r="E120" s="34"/>
      <c r="F120" s="34"/>
      <c r="G120" s="34"/>
      <c r="H120" s="34"/>
      <c r="I120" s="34"/>
      <c r="J120" s="34"/>
      <c r="K120" s="34"/>
      <c r="L120" s="34"/>
      <c r="M120" s="34"/>
      <c r="N120" s="34"/>
      <c r="O120" s="34"/>
      <c r="P120" s="34"/>
      <c r="Q120" s="34"/>
      <c r="R120" s="34"/>
      <c r="S120" s="34"/>
      <c r="T120" s="34"/>
      <c r="U120" s="34"/>
      <c r="V120" s="34"/>
      <c r="W120" s="34"/>
      <c r="X120" s="34"/>
    </row>
    <row r="121" ht="15.75" customHeight="1" spans="1:24">
      <c r="A121" s="34"/>
      <c r="B121" s="63"/>
      <c r="C121" s="34"/>
      <c r="D121" s="34"/>
      <c r="E121" s="34"/>
      <c r="F121" s="34"/>
      <c r="G121" s="34"/>
      <c r="H121" s="34"/>
      <c r="I121" s="34"/>
      <c r="J121" s="34"/>
      <c r="K121" s="34"/>
      <c r="L121" s="34"/>
      <c r="M121" s="34"/>
      <c r="N121" s="34"/>
      <c r="O121" s="34"/>
      <c r="P121" s="34"/>
      <c r="Q121" s="34"/>
      <c r="R121" s="34"/>
      <c r="S121" s="34"/>
      <c r="T121" s="34"/>
      <c r="U121" s="34"/>
      <c r="V121" s="34"/>
      <c r="W121" s="34"/>
      <c r="X121" s="34"/>
    </row>
    <row r="122" ht="15.75" customHeight="1" spans="1:24">
      <c r="A122" s="34"/>
      <c r="B122" s="63"/>
      <c r="C122" s="34"/>
      <c r="D122" s="34"/>
      <c r="E122" s="34"/>
      <c r="F122" s="34"/>
      <c r="G122" s="34"/>
      <c r="H122" s="34"/>
      <c r="I122" s="34"/>
      <c r="J122" s="34"/>
      <c r="K122" s="34"/>
      <c r="L122" s="34"/>
      <c r="M122" s="34"/>
      <c r="N122" s="34"/>
      <c r="O122" s="34"/>
      <c r="P122" s="34"/>
      <c r="Q122" s="34"/>
      <c r="R122" s="34"/>
      <c r="S122" s="34"/>
      <c r="T122" s="34"/>
      <c r="U122" s="34"/>
      <c r="V122" s="34"/>
      <c r="W122" s="34"/>
      <c r="X122" s="34"/>
    </row>
  </sheetData>
  <mergeCells count="16">
    <mergeCell ref="A2:P2"/>
    <mergeCell ref="D4:P4"/>
    <mergeCell ref="D5:G5"/>
    <mergeCell ref="H5:I5"/>
    <mergeCell ref="J5:O5"/>
    <mergeCell ref="H6:I6"/>
    <mergeCell ref="J6:K6"/>
    <mergeCell ref="L6:M6"/>
    <mergeCell ref="N6:O6"/>
    <mergeCell ref="C4:C7"/>
    <mergeCell ref="P5:P6"/>
    <mergeCell ref="A4:B7"/>
    <mergeCell ref="A8:B10"/>
    <mergeCell ref="A11:B13"/>
    <mergeCell ref="A14:B16"/>
    <mergeCell ref="A17:B19"/>
  </mergeCells>
  <conditionalFormatting sqref="D8:M18">
    <cfRule type="containsBlanks" dxfId="18" priority="1">
      <formula>LEN(TRIM(D8))=0</formula>
    </cfRule>
  </conditionalFormatting>
  <pageMargins left="0.75" right="0.75" top="1" bottom="1" header="0.5" footer="0.5"/>
  <headerFooter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X58"/>
  <sheetViews>
    <sheetView workbookViewId="0">
      <selection activeCell="A1" sqref="A1"/>
    </sheetView>
  </sheetViews>
  <sheetFormatPr defaultColWidth="14.43" defaultRowHeight="15" customHeight="1"/>
  <cols>
    <col min="1" max="1" width="24.43" customWidth="1"/>
    <col min="2" max="2" width="9.29" customWidth="1"/>
    <col min="3" max="3" width="42.57" customWidth="1"/>
    <col min="4" max="4" width="15.86" customWidth="1"/>
    <col min="5" max="5" width="16" customWidth="1"/>
    <col min="6" max="6" width="13.29" customWidth="1"/>
    <col min="7" max="7" width="46.71" customWidth="1"/>
    <col min="8" max="8" width="6.43" customWidth="1"/>
    <col min="9" max="9" width="11.71" customWidth="1"/>
    <col min="10" max="10" width="6.57" customWidth="1"/>
    <col min="11" max="11" width="10.57" customWidth="1"/>
    <col min="12" max="12" width="7.14" customWidth="1"/>
    <col min="13" max="13" width="9.57" customWidth="1"/>
    <col min="14" max="14" width="4.57" customWidth="1"/>
    <col min="15" max="15" width="9.86" customWidth="1"/>
    <col min="17" max="23" width="14.43" hidden="1" customWidth="1"/>
  </cols>
  <sheetData>
    <row r="1" ht="17" spans="1:23">
      <c r="A1" s="66"/>
      <c r="B1" s="66"/>
      <c r="C1" s="66"/>
      <c r="D1" s="66"/>
      <c r="E1" s="66"/>
      <c r="F1" s="66"/>
      <c r="G1" s="66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/>
      <c r="T1" s="67"/>
      <c r="U1" s="67"/>
      <c r="V1" s="67"/>
      <c r="W1" s="67"/>
    </row>
    <row r="2" ht="17" spans="1:23">
      <c r="A2" s="68" t="s">
        <v>62</v>
      </c>
      <c r="Q2" s="67"/>
      <c r="R2" s="67"/>
      <c r="S2" s="67"/>
      <c r="T2" s="67"/>
      <c r="U2" s="67"/>
      <c r="V2" s="67"/>
      <c r="W2" s="67"/>
    </row>
    <row r="3" ht="17" spans="1:23">
      <c r="A3" s="66"/>
      <c r="B3" s="66"/>
      <c r="C3" s="66"/>
      <c r="D3" s="66"/>
      <c r="E3" s="66"/>
      <c r="F3" s="66"/>
      <c r="G3" s="66"/>
      <c r="H3" s="67"/>
      <c r="I3" s="67"/>
      <c r="J3" s="67"/>
      <c r="K3" s="67"/>
      <c r="L3" s="67"/>
      <c r="M3" s="67"/>
      <c r="N3" s="67"/>
      <c r="O3" s="67"/>
      <c r="P3" s="67"/>
      <c r="Q3" s="67"/>
      <c r="R3" s="67"/>
      <c r="S3" s="67"/>
      <c r="T3" s="67"/>
      <c r="U3" s="67"/>
      <c r="V3" s="67"/>
      <c r="W3" s="67"/>
    </row>
    <row r="4" ht="17" spans="1:23">
      <c r="A4" s="69" t="s">
        <v>23</v>
      </c>
      <c r="C4" s="70" t="s">
        <v>24</v>
      </c>
      <c r="D4" s="71" t="s">
        <v>25</v>
      </c>
      <c r="E4" s="39"/>
      <c r="F4" s="39"/>
      <c r="G4" s="39"/>
      <c r="H4" s="39"/>
      <c r="I4" s="39"/>
      <c r="J4" s="39"/>
      <c r="K4" s="39"/>
      <c r="L4" s="39"/>
      <c r="M4" s="39"/>
      <c r="N4" s="39"/>
      <c r="O4" s="39"/>
      <c r="P4" s="40"/>
      <c r="Q4" s="34"/>
      <c r="R4" s="34"/>
      <c r="S4" s="34"/>
      <c r="T4" s="34"/>
      <c r="U4" s="34"/>
      <c r="V4" s="34"/>
      <c r="W4" s="34"/>
    </row>
    <row r="5" ht="17" spans="1:23">
      <c r="A5" s="41"/>
      <c r="C5" s="42"/>
      <c r="D5" s="71" t="s">
        <v>26</v>
      </c>
      <c r="E5" s="39"/>
      <c r="F5" s="39"/>
      <c r="G5" s="40"/>
      <c r="H5" s="71" t="s">
        <v>27</v>
      </c>
      <c r="I5" s="40"/>
      <c r="J5" s="71" t="s">
        <v>28</v>
      </c>
      <c r="K5" s="39"/>
      <c r="L5" s="39"/>
      <c r="M5" s="39"/>
      <c r="N5" s="39"/>
      <c r="O5" s="40"/>
      <c r="P5" s="72" t="s">
        <v>29</v>
      </c>
      <c r="Q5" s="67"/>
      <c r="R5" s="67"/>
      <c r="S5" s="67"/>
      <c r="T5" s="67"/>
      <c r="U5" s="67"/>
      <c r="V5" s="67"/>
      <c r="W5" s="67"/>
    </row>
    <row r="6" ht="17" spans="1:23">
      <c r="A6" s="41"/>
      <c r="C6" s="42"/>
      <c r="D6" s="73" t="s">
        <v>30</v>
      </c>
      <c r="E6" s="73" t="s">
        <v>31</v>
      </c>
      <c r="F6" s="73" t="s">
        <v>32</v>
      </c>
      <c r="G6" s="74" t="s">
        <v>33</v>
      </c>
      <c r="H6" s="71" t="s">
        <v>32</v>
      </c>
      <c r="I6" s="40"/>
      <c r="J6" s="71" t="s">
        <v>34</v>
      </c>
      <c r="K6" s="40"/>
      <c r="L6" s="71" t="s">
        <v>35</v>
      </c>
      <c r="M6" s="40"/>
      <c r="N6" s="75" t="s">
        <v>33</v>
      </c>
      <c r="O6" s="40"/>
      <c r="P6" s="40"/>
      <c r="Q6" s="67"/>
      <c r="R6" s="67"/>
      <c r="S6" s="67"/>
      <c r="T6" s="67"/>
      <c r="U6" s="67"/>
      <c r="V6" s="67"/>
      <c r="W6" s="67"/>
    </row>
    <row r="7" ht="17" spans="1:23">
      <c r="A7" s="47"/>
      <c r="B7" s="39"/>
      <c r="C7" s="40"/>
      <c r="D7" s="44" t="s">
        <v>36</v>
      </c>
      <c r="E7" s="44" t="s">
        <v>36</v>
      </c>
      <c r="F7" s="44" t="s">
        <v>36</v>
      </c>
      <c r="G7" s="45" t="s">
        <v>36</v>
      </c>
      <c r="H7" s="44" t="s">
        <v>37</v>
      </c>
      <c r="I7" s="44" t="s">
        <v>38</v>
      </c>
      <c r="J7" s="44" t="s">
        <v>37</v>
      </c>
      <c r="K7" s="44" t="s">
        <v>38</v>
      </c>
      <c r="L7" s="44" t="s">
        <v>37</v>
      </c>
      <c r="M7" s="44" t="s">
        <v>38</v>
      </c>
      <c r="N7" s="45" t="s">
        <v>37</v>
      </c>
      <c r="O7" s="45" t="s">
        <v>38</v>
      </c>
      <c r="P7" s="48" t="s">
        <v>39</v>
      </c>
      <c r="Q7" s="67"/>
      <c r="R7" s="67"/>
      <c r="S7" s="67"/>
      <c r="T7" s="67"/>
      <c r="U7" s="67"/>
      <c r="V7" s="67"/>
      <c r="W7" s="67"/>
    </row>
    <row r="8" ht="17" spans="1:23">
      <c r="A8" s="49" t="s">
        <v>63</v>
      </c>
      <c r="B8" s="42"/>
      <c r="C8" s="50" t="s">
        <v>41</v>
      </c>
      <c r="D8" s="51">
        <v>15</v>
      </c>
      <c r="E8" s="51">
        <v>30</v>
      </c>
      <c r="F8" s="51">
        <v>40</v>
      </c>
      <c r="G8" s="52">
        <v>85</v>
      </c>
      <c r="H8" s="51"/>
      <c r="I8" s="51"/>
      <c r="J8" s="51">
        <v>40</v>
      </c>
      <c r="K8" s="51">
        <v>40</v>
      </c>
      <c r="L8" s="51">
        <v>40</v>
      </c>
      <c r="M8" s="51">
        <v>40</v>
      </c>
      <c r="N8" s="52">
        <v>80</v>
      </c>
      <c r="O8" s="52">
        <v>80</v>
      </c>
      <c r="P8" s="53">
        <v>245</v>
      </c>
      <c r="Q8" s="67"/>
      <c r="R8" s="67"/>
      <c r="S8" s="67"/>
      <c r="T8" s="67"/>
      <c r="U8" s="67"/>
      <c r="V8" s="67"/>
      <c r="W8" s="67"/>
    </row>
    <row r="9" ht="17" spans="1:23">
      <c r="A9" s="41"/>
      <c r="B9" s="42"/>
      <c r="C9" s="50" t="s">
        <v>42</v>
      </c>
      <c r="D9" s="51">
        <v>15</v>
      </c>
      <c r="E9" s="51">
        <v>30</v>
      </c>
      <c r="F9" s="51">
        <v>40</v>
      </c>
      <c r="G9" s="52">
        <v>85</v>
      </c>
      <c r="H9" s="51">
        <v>0</v>
      </c>
      <c r="I9" s="51">
        <v>0</v>
      </c>
      <c r="J9" s="51">
        <v>30</v>
      </c>
      <c r="K9" s="51">
        <v>25</v>
      </c>
      <c r="L9" s="51">
        <v>30</v>
      </c>
      <c r="M9" s="51">
        <v>35</v>
      </c>
      <c r="N9" s="52">
        <v>60</v>
      </c>
      <c r="O9" s="52">
        <v>60</v>
      </c>
      <c r="P9" s="54">
        <v>205</v>
      </c>
      <c r="Q9" s="67"/>
      <c r="R9" s="67"/>
      <c r="S9" s="67"/>
      <c r="T9" s="67"/>
      <c r="U9" s="67"/>
      <c r="V9" s="67"/>
      <c r="W9" s="67"/>
    </row>
    <row r="10" ht="17" spans="1:23">
      <c r="A10" s="47"/>
      <c r="B10" s="40"/>
      <c r="C10" s="55" t="s">
        <v>43</v>
      </c>
      <c r="D10" s="56">
        <v>0</v>
      </c>
      <c r="E10" s="56">
        <v>0</v>
      </c>
      <c r="F10" s="56">
        <v>0</v>
      </c>
      <c r="G10" s="56">
        <v>0</v>
      </c>
      <c r="H10" s="56">
        <v>0</v>
      </c>
      <c r="I10" s="56">
        <v>0</v>
      </c>
      <c r="J10" s="56">
        <v>10</v>
      </c>
      <c r="K10" s="56">
        <v>15</v>
      </c>
      <c r="L10" s="56">
        <v>10</v>
      </c>
      <c r="M10" s="56">
        <v>5</v>
      </c>
      <c r="N10" s="56">
        <v>20</v>
      </c>
      <c r="O10" s="56">
        <v>20</v>
      </c>
      <c r="P10" s="56">
        <v>40</v>
      </c>
      <c r="Q10" s="67"/>
      <c r="R10" s="67"/>
      <c r="S10" s="67"/>
      <c r="T10" s="67"/>
      <c r="U10" s="67"/>
      <c r="V10" s="67"/>
      <c r="W10" s="67"/>
    </row>
    <row r="11" ht="17" spans="1:23">
      <c r="A11" s="49" t="s">
        <v>64</v>
      </c>
      <c r="B11" s="42"/>
      <c r="C11" s="50" t="s">
        <v>41</v>
      </c>
      <c r="D11" s="51"/>
      <c r="E11" s="51"/>
      <c r="F11" s="51"/>
      <c r="G11" s="52">
        <v>0</v>
      </c>
      <c r="H11" s="51">
        <v>19</v>
      </c>
      <c r="I11" s="51">
        <v>19</v>
      </c>
      <c r="J11" s="51">
        <v>24</v>
      </c>
      <c r="K11" s="51">
        <v>19</v>
      </c>
      <c r="L11" s="51">
        <v>19</v>
      </c>
      <c r="M11" s="51">
        <v>28</v>
      </c>
      <c r="N11" s="52">
        <v>62</v>
      </c>
      <c r="O11" s="52">
        <v>66</v>
      </c>
      <c r="P11" s="53">
        <v>128</v>
      </c>
      <c r="Q11" s="67"/>
      <c r="R11" s="67"/>
      <c r="S11" s="67"/>
      <c r="T11" s="67"/>
      <c r="U11" s="67"/>
      <c r="V11" s="67"/>
      <c r="W11" s="67"/>
    </row>
    <row r="12" ht="17" spans="1:23">
      <c r="A12" s="41"/>
      <c r="B12" s="42"/>
      <c r="C12" s="50" t="s">
        <v>42</v>
      </c>
      <c r="D12" s="51">
        <v>0</v>
      </c>
      <c r="E12" s="51">
        <v>0</v>
      </c>
      <c r="F12" s="51">
        <v>0</v>
      </c>
      <c r="G12" s="52">
        <v>0</v>
      </c>
      <c r="H12" s="51">
        <v>19</v>
      </c>
      <c r="I12" s="51">
        <v>19</v>
      </c>
      <c r="J12" s="51">
        <v>28</v>
      </c>
      <c r="K12" s="51">
        <v>19</v>
      </c>
      <c r="L12" s="51">
        <v>19</v>
      </c>
      <c r="M12" s="51">
        <v>28</v>
      </c>
      <c r="N12" s="52">
        <v>66</v>
      </c>
      <c r="O12" s="52">
        <v>66</v>
      </c>
      <c r="P12" s="54">
        <v>132</v>
      </c>
      <c r="Q12" s="67"/>
      <c r="R12" s="67"/>
      <c r="S12" s="67"/>
      <c r="T12" s="67"/>
      <c r="U12" s="67"/>
      <c r="V12" s="67"/>
      <c r="W12" s="67"/>
    </row>
    <row r="13" ht="17" spans="1:23">
      <c r="A13" s="47"/>
      <c r="B13" s="40"/>
      <c r="C13" s="55" t="s">
        <v>43</v>
      </c>
      <c r="D13" s="56">
        <v>0</v>
      </c>
      <c r="E13" s="56">
        <v>0</v>
      </c>
      <c r="F13" s="56">
        <v>0</v>
      </c>
      <c r="G13" s="56">
        <v>0</v>
      </c>
      <c r="H13" s="56">
        <v>0</v>
      </c>
      <c r="I13" s="56">
        <v>0</v>
      </c>
      <c r="J13" s="56">
        <v>-4</v>
      </c>
      <c r="K13" s="56">
        <v>0</v>
      </c>
      <c r="L13" s="56">
        <v>0</v>
      </c>
      <c r="M13" s="56">
        <v>0</v>
      </c>
      <c r="N13" s="56">
        <v>-4</v>
      </c>
      <c r="O13" s="56">
        <v>0</v>
      </c>
      <c r="P13" s="56">
        <v>-4</v>
      </c>
      <c r="Q13" s="67"/>
      <c r="R13" s="67"/>
      <c r="S13" s="67"/>
      <c r="T13" s="67"/>
      <c r="U13" s="67"/>
      <c r="V13" s="67"/>
      <c r="W13" s="67"/>
    </row>
    <row r="14" ht="17" spans="1:23">
      <c r="A14" s="49" t="s">
        <v>65</v>
      </c>
      <c r="B14" s="42"/>
      <c r="C14" s="50" t="s">
        <v>41</v>
      </c>
      <c r="D14" s="51">
        <v>15</v>
      </c>
      <c r="E14" s="51">
        <v>30</v>
      </c>
      <c r="F14" s="51">
        <v>40</v>
      </c>
      <c r="G14" s="52">
        <v>85</v>
      </c>
      <c r="H14" s="51"/>
      <c r="I14" s="51"/>
      <c r="J14" s="51"/>
      <c r="K14" s="51"/>
      <c r="L14" s="51"/>
      <c r="M14" s="51"/>
      <c r="N14" s="52">
        <v>0</v>
      </c>
      <c r="O14" s="52">
        <v>0</v>
      </c>
      <c r="P14" s="53">
        <v>85</v>
      </c>
      <c r="Q14" s="67"/>
      <c r="R14" s="67"/>
      <c r="S14" s="67"/>
      <c r="T14" s="67"/>
      <c r="U14" s="67"/>
      <c r="V14" s="67"/>
      <c r="W14" s="67"/>
    </row>
    <row r="15" ht="17" spans="1:23">
      <c r="A15" s="41"/>
      <c r="B15" s="42"/>
      <c r="C15" s="50" t="s">
        <v>42</v>
      </c>
      <c r="D15" s="51">
        <v>15</v>
      </c>
      <c r="E15" s="51">
        <v>31</v>
      </c>
      <c r="F15" s="51">
        <v>40</v>
      </c>
      <c r="G15" s="52">
        <v>79</v>
      </c>
      <c r="H15" s="51">
        <v>0</v>
      </c>
      <c r="I15" s="51">
        <v>0</v>
      </c>
      <c r="J15" s="51">
        <v>0</v>
      </c>
      <c r="K15" s="51">
        <v>0</v>
      </c>
      <c r="L15" s="51">
        <v>0</v>
      </c>
      <c r="M15" s="51">
        <v>0</v>
      </c>
      <c r="N15" s="52">
        <v>0</v>
      </c>
      <c r="O15" s="52">
        <v>0</v>
      </c>
      <c r="P15" s="54">
        <v>79</v>
      </c>
      <c r="Q15" s="67"/>
      <c r="R15" s="67"/>
      <c r="S15" s="67"/>
      <c r="T15" s="67"/>
      <c r="U15" s="67"/>
      <c r="V15" s="67"/>
      <c r="W15" s="67"/>
    </row>
    <row r="16" ht="17" spans="1:23">
      <c r="A16" s="47"/>
      <c r="B16" s="40"/>
      <c r="C16" s="55" t="s">
        <v>43</v>
      </c>
      <c r="D16" s="56">
        <v>0</v>
      </c>
      <c r="E16" s="56">
        <v>-1</v>
      </c>
      <c r="F16" s="56">
        <v>0</v>
      </c>
      <c r="G16" s="56">
        <v>6</v>
      </c>
      <c r="H16" s="56">
        <v>0</v>
      </c>
      <c r="I16" s="56">
        <v>0</v>
      </c>
      <c r="J16" s="56">
        <v>0</v>
      </c>
      <c r="K16" s="56">
        <v>0</v>
      </c>
      <c r="L16" s="56">
        <v>0</v>
      </c>
      <c r="M16" s="56">
        <v>0</v>
      </c>
      <c r="N16" s="56">
        <v>0</v>
      </c>
      <c r="O16" s="56">
        <v>0</v>
      </c>
      <c r="P16" s="56">
        <v>6</v>
      </c>
      <c r="Q16" s="67"/>
      <c r="R16" s="67"/>
      <c r="S16" s="67"/>
      <c r="T16" s="67"/>
      <c r="U16" s="67"/>
      <c r="V16" s="67"/>
      <c r="W16" s="67"/>
    </row>
    <row r="17" ht="17" spans="1:24">
      <c r="A17" s="49" t="s">
        <v>66</v>
      </c>
      <c r="B17" s="42"/>
      <c r="C17" s="50" t="s">
        <v>41</v>
      </c>
      <c r="D17" s="51"/>
      <c r="E17" s="51"/>
      <c r="F17" s="51"/>
      <c r="G17" s="52">
        <v>0</v>
      </c>
      <c r="H17" s="51">
        <v>40</v>
      </c>
      <c r="I17" s="51">
        <v>40</v>
      </c>
      <c r="J17" s="51">
        <v>40</v>
      </c>
      <c r="K17" s="51">
        <v>60</v>
      </c>
      <c r="L17" s="51">
        <v>60</v>
      </c>
      <c r="M17" s="51">
        <v>40</v>
      </c>
      <c r="N17" s="52">
        <v>140</v>
      </c>
      <c r="O17" s="52">
        <v>140</v>
      </c>
      <c r="P17" s="53">
        <v>280</v>
      </c>
      <c r="Q17" s="67"/>
      <c r="R17" s="67"/>
      <c r="S17" s="67"/>
      <c r="T17" s="67"/>
      <c r="U17" s="67"/>
      <c r="V17" s="67"/>
      <c r="W17" s="67"/>
    </row>
    <row r="18" ht="17" spans="1:24">
      <c r="A18" s="41"/>
      <c r="B18" s="42"/>
      <c r="C18" s="50" t="s">
        <v>42</v>
      </c>
      <c r="D18" s="51">
        <v>0</v>
      </c>
      <c r="E18" s="51">
        <v>0</v>
      </c>
      <c r="F18" s="51">
        <v>0</v>
      </c>
      <c r="G18" s="52">
        <v>0</v>
      </c>
      <c r="H18" s="51">
        <v>15</v>
      </c>
      <c r="I18" s="51">
        <v>25</v>
      </c>
      <c r="J18" s="51">
        <v>33</v>
      </c>
      <c r="K18" s="51">
        <v>51</v>
      </c>
      <c r="L18" s="51">
        <v>47</v>
      </c>
      <c r="M18" s="51">
        <v>41</v>
      </c>
      <c r="N18" s="52">
        <v>95</v>
      </c>
      <c r="O18" s="52">
        <v>117</v>
      </c>
      <c r="P18" s="54">
        <v>212</v>
      </c>
      <c r="Q18" s="67"/>
      <c r="R18" s="67"/>
      <c r="S18" s="67"/>
      <c r="T18" s="67"/>
      <c r="U18" s="67"/>
      <c r="V18" s="67"/>
      <c r="W18" s="67"/>
    </row>
    <row r="19" ht="17" spans="1:24">
      <c r="A19" s="47"/>
      <c r="B19" s="40"/>
      <c r="C19" s="55" t="s">
        <v>43</v>
      </c>
      <c r="D19" s="56">
        <v>0</v>
      </c>
      <c r="E19" s="56">
        <v>0</v>
      </c>
      <c r="F19" s="56">
        <v>0</v>
      </c>
      <c r="G19" s="56">
        <v>0</v>
      </c>
      <c r="H19" s="56">
        <v>25</v>
      </c>
      <c r="I19" s="56">
        <v>15</v>
      </c>
      <c r="J19" s="56">
        <v>7</v>
      </c>
      <c r="K19" s="56">
        <v>9</v>
      </c>
      <c r="L19" s="56">
        <v>13</v>
      </c>
      <c r="M19" s="56">
        <v>-1</v>
      </c>
      <c r="N19" s="56">
        <v>45</v>
      </c>
      <c r="O19" s="56">
        <v>23</v>
      </c>
      <c r="P19" s="56">
        <v>68</v>
      </c>
      <c r="Q19" s="67"/>
      <c r="R19" s="67"/>
      <c r="S19" s="67"/>
      <c r="T19" s="67"/>
      <c r="U19" s="67"/>
      <c r="V19" s="67"/>
      <c r="W19" s="67"/>
    </row>
    <row r="20" ht="17" spans="1:24">
      <c r="A20" s="49" t="s">
        <v>67</v>
      </c>
      <c r="B20" s="42"/>
      <c r="C20" s="76" t="s">
        <v>41</v>
      </c>
      <c r="D20" s="51">
        <v>20</v>
      </c>
      <c r="E20" s="51">
        <v>15</v>
      </c>
      <c r="F20" s="51"/>
      <c r="G20" s="52">
        <v>35</v>
      </c>
      <c r="H20" s="51"/>
      <c r="I20" s="51"/>
      <c r="J20" s="51"/>
      <c r="K20" s="51"/>
      <c r="L20" s="51"/>
      <c r="M20" s="51"/>
      <c r="N20" s="77">
        <v>0</v>
      </c>
      <c r="O20" s="77">
        <v>0</v>
      </c>
      <c r="P20" s="78">
        <v>35</v>
      </c>
      <c r="Q20" s="67"/>
      <c r="R20" s="67"/>
      <c r="S20" s="67"/>
      <c r="T20" s="67"/>
      <c r="U20" s="67"/>
      <c r="V20" s="67"/>
      <c r="W20" s="67"/>
    </row>
    <row r="21" ht="15.75" customHeight="1" spans="1:24">
      <c r="A21" s="41"/>
      <c r="B21" s="42"/>
      <c r="C21" s="76" t="s">
        <v>42</v>
      </c>
      <c r="D21" s="51">
        <v>20</v>
      </c>
      <c r="E21" s="51">
        <v>15</v>
      </c>
      <c r="F21" s="51">
        <v>0</v>
      </c>
      <c r="G21" s="52">
        <v>35</v>
      </c>
      <c r="H21" s="51">
        <v>0</v>
      </c>
      <c r="I21" s="51">
        <v>0</v>
      </c>
      <c r="J21" s="51">
        <v>0</v>
      </c>
      <c r="K21" s="51">
        <v>0</v>
      </c>
      <c r="L21" s="51">
        <v>0</v>
      </c>
      <c r="M21" s="51">
        <v>0</v>
      </c>
      <c r="N21" s="77">
        <v>0</v>
      </c>
      <c r="O21" s="77">
        <v>0</v>
      </c>
      <c r="P21" s="79">
        <v>35</v>
      </c>
      <c r="Q21" s="67"/>
      <c r="R21" s="67"/>
      <c r="S21" s="67"/>
      <c r="T21" s="67"/>
      <c r="U21" s="67"/>
      <c r="V21" s="67"/>
      <c r="W21" s="67"/>
    </row>
    <row r="22" ht="15.75" customHeight="1" spans="1:24">
      <c r="A22" s="47"/>
      <c r="B22" s="40"/>
      <c r="C22" s="80" t="s">
        <v>43</v>
      </c>
      <c r="D22" s="57">
        <v>0</v>
      </c>
      <c r="E22" s="57">
        <v>0</v>
      </c>
      <c r="F22" s="57">
        <v>0</v>
      </c>
      <c r="G22" s="57">
        <v>0</v>
      </c>
      <c r="H22" s="57">
        <v>0</v>
      </c>
      <c r="I22" s="57">
        <v>0</v>
      </c>
      <c r="J22" s="57">
        <v>0</v>
      </c>
      <c r="K22" s="57">
        <v>0</v>
      </c>
      <c r="L22" s="57">
        <v>0</v>
      </c>
      <c r="M22" s="57">
        <v>0</v>
      </c>
      <c r="N22" s="57">
        <v>0</v>
      </c>
      <c r="O22" s="57">
        <v>0</v>
      </c>
      <c r="P22" s="57">
        <v>0</v>
      </c>
      <c r="Q22" s="67"/>
      <c r="R22" s="67"/>
      <c r="S22" s="67"/>
      <c r="T22" s="67"/>
      <c r="U22" s="67"/>
      <c r="V22" s="67"/>
      <c r="W22" s="67"/>
    </row>
    <row r="23" ht="15.75" customHeight="1" spans="1:24">
      <c r="A23" s="66"/>
      <c r="B23" s="66"/>
      <c r="C23" s="66"/>
      <c r="D23" s="66"/>
      <c r="E23" s="66"/>
      <c r="F23" s="66"/>
      <c r="G23" s="66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</row>
    <row r="24" ht="15.75" customHeight="1" spans="1:24">
      <c r="A24" s="66"/>
      <c r="B24" s="66"/>
      <c r="C24" s="66"/>
      <c r="D24" s="66"/>
      <c r="E24" s="66"/>
      <c r="F24" s="66"/>
      <c r="G24" s="66"/>
      <c r="H24" s="67"/>
      <c r="I24" s="67"/>
      <c r="J24" s="67"/>
      <c r="K24" s="67"/>
      <c r="L24" s="67"/>
      <c r="M24" s="67"/>
      <c r="N24" s="67"/>
      <c r="O24" s="67"/>
      <c r="P24" s="67"/>
      <c r="Q24" s="67"/>
      <c r="R24" s="67"/>
      <c r="S24" s="67"/>
      <c r="T24" s="67"/>
      <c r="U24" s="67"/>
      <c r="V24" s="67"/>
      <c r="W24" s="67"/>
    </row>
    <row r="25" ht="51" spans="1:24">
      <c r="A25" s="81" t="s">
        <v>14</v>
      </c>
      <c r="B25" s="82" t="s">
        <v>6</v>
      </c>
      <c r="C25" s="82" t="s">
        <v>15</v>
      </c>
      <c r="D25" s="82" t="s">
        <v>16</v>
      </c>
      <c r="E25" s="82" t="s">
        <v>10</v>
      </c>
      <c r="F25" s="83" t="s">
        <v>17</v>
      </c>
      <c r="G25" s="83" t="s">
        <v>18</v>
      </c>
      <c r="H25" s="84"/>
      <c r="I25" s="84"/>
      <c r="J25" s="84"/>
      <c r="K25" s="84"/>
      <c r="L25" s="84"/>
      <c r="M25" s="84"/>
      <c r="N25" s="84"/>
      <c r="O25" s="84"/>
      <c r="P25" s="84"/>
      <c r="Q25" s="84"/>
      <c r="R25" s="84"/>
      <c r="S25" s="84"/>
      <c r="T25" s="84"/>
      <c r="U25" s="84"/>
      <c r="V25" s="84"/>
      <c r="W25" s="84"/>
      <c r="X25" s="84"/>
    </row>
    <row r="26" ht="15.75" customHeight="1" spans="1:24">
      <c r="A26" s="62" t="str">
        <f>IFERROR(__xludf.DUMMYFUNCTION("QUERY(dados_02!$A$2:$H$675, ""SELECT Col1, Col2, Col3, Col4, Col5, Col6, Col7  where Col8 = 'REGIONAL 6' "")"),"09/03/2026 17:29:00")</f>
        <v>09/03/2026 17:29:00</v>
      </c>
      <c r="B26" s="63" t="str">
        <f>IFERROR(__xludf.DUMMYFUNCTION("""COMPUTED_VALUE"""),"1")</f>
        <v>1</v>
      </c>
      <c r="C26" s="34" t="str">
        <f>IFERROR(__xludf.DUMMYFUNCTION("""COMPUTED_VALUE"""),"M. D. C. M. C")</f>
        <v>M. D. C. M. C</v>
      </c>
      <c r="D26" s="64" t="str">
        <f>IFERROR(__xludf.DUMMYFUNCTION("""COMPUTED_VALUE"""),"21/05/2024")</f>
        <v>21/05/2024</v>
      </c>
      <c r="E26" s="34" t="str">
        <f>IFERROR(__xludf.DUMMYFUNCTION("""COMPUTED_VALUE"""),"003******58")</f>
        <v>003******58</v>
      </c>
      <c r="F26" s="34" t="str">
        <f>IFERROR(__xludf.DUMMYFUNCTION("""COMPUTED_VALUE"""),"INFANTIL 1")</f>
        <v>INFANTIL 1</v>
      </c>
      <c r="G26" s="65" t="str">
        <f>IFERROR(__xludf.DUMMYFUNCTION("""COMPUTED_VALUE"""),"CEMEI LIGIA ARAUJO DE OLIVEIRA")</f>
        <v>CEMEI LIGIA ARAUJO DE OLIVEIRA</v>
      </c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</row>
    <row r="27" ht="15.75" customHeight="1" spans="1:24">
      <c r="A27" s="62" t="str">
        <f>IFERROR(__xludf.DUMMYFUNCTION("""COMPUTED_VALUE"""),"23/03/2026 19:01:28")</f>
        <v>23/03/2026 19:01:28</v>
      </c>
      <c r="B27" s="63" t="str">
        <f>IFERROR(__xludf.DUMMYFUNCTION("""COMPUTED_VALUE"""),"2")</f>
        <v>2</v>
      </c>
      <c r="C27" s="34" t="str">
        <f>IFERROR(__xludf.DUMMYFUNCTION("""COMPUTED_VALUE"""),"L. S. S")</f>
        <v>L. S. S</v>
      </c>
      <c r="D27" s="64" t="str">
        <f>IFERROR(__xludf.DUMMYFUNCTION("""COMPUTED_VALUE"""),"15/05/2024")</f>
        <v>15/05/2024</v>
      </c>
      <c r="E27" s="34" t="str">
        <f>IFERROR(__xludf.DUMMYFUNCTION("""COMPUTED_VALUE"""),"003******82")</f>
        <v>003******82</v>
      </c>
      <c r="F27" s="34" t="str">
        <f>IFERROR(__xludf.DUMMYFUNCTION("""COMPUTED_VALUE"""),"INFANTIL 1")</f>
        <v>INFANTIL 1</v>
      </c>
      <c r="G27" s="65" t="str">
        <f>IFERROR(__xludf.DUMMYFUNCTION("""COMPUTED_VALUE"""),"CEMEI LIGIA ARAUJO DE OLIVEIRA")</f>
        <v>CEMEI LIGIA ARAUJO DE OLIVEIRA</v>
      </c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</row>
    <row r="28" ht="15.75" customHeight="1" spans="1:24">
      <c r="A28" s="62" t="str">
        <f>IFERROR(__xludf.DUMMYFUNCTION("""COMPUTED_VALUE"""),"28/01/2026 08:07:40")</f>
        <v>28/01/2026 08:07:40</v>
      </c>
      <c r="B28" s="63" t="str">
        <f>IFERROR(__xludf.DUMMYFUNCTION("""COMPUTED_VALUE"""),"1")</f>
        <v>1</v>
      </c>
      <c r="C28" s="34" t="str">
        <f>IFERROR(__xludf.DUMMYFUNCTION("""COMPUTED_VALUE"""),"Í. M. E. D. S")</f>
        <v>Í. M. E. D. S</v>
      </c>
      <c r="D28" s="64" t="str">
        <f>IFERROR(__xludf.DUMMYFUNCTION("""COMPUTED_VALUE"""),"19/08/2023")</f>
        <v>19/08/2023</v>
      </c>
      <c r="E28" s="34" t="str">
        <f>IFERROR(__xludf.DUMMYFUNCTION("""COMPUTED_VALUE"""),"001******67")</f>
        <v>001******67</v>
      </c>
      <c r="F28" s="34" t="str">
        <f>IFERROR(__xludf.DUMMYFUNCTION("""COMPUTED_VALUE"""),"INFANTIL 2")</f>
        <v>INFANTIL 2</v>
      </c>
      <c r="G28" s="65" t="str">
        <f>IFERROR(__xludf.DUMMYFUNCTION("""COMPUTED_VALUE"""),"CEMEI LIGIA ARAUJO DE OLIVEIRA")</f>
        <v>CEMEI LIGIA ARAUJO DE OLIVEIRA</v>
      </c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</row>
    <row r="29" ht="15.75" customHeight="1" spans="1:24">
      <c r="A29" s="62" t="str">
        <f>IFERROR(__xludf.DUMMYFUNCTION("""COMPUTED_VALUE"""),"29/01/2026 10:35:38")</f>
        <v>29/01/2026 10:35:38</v>
      </c>
      <c r="B29" s="63" t="str">
        <f>IFERROR(__xludf.DUMMYFUNCTION("""COMPUTED_VALUE"""),"2")</f>
        <v>2</v>
      </c>
      <c r="C29" s="34" t="str">
        <f>IFERROR(__xludf.DUMMYFUNCTION("""COMPUTED_VALUE"""),"O. H. L. L")</f>
        <v>O. H. L. L</v>
      </c>
      <c r="D29" s="85" t="str">
        <f>IFERROR(__xludf.DUMMYFUNCTION("""COMPUTED_VALUE"""),"27/05/2023")</f>
        <v>27/05/2023</v>
      </c>
      <c r="E29" s="34" t="str">
        <f>IFERROR(__xludf.DUMMYFUNCTION("""COMPUTED_VALUE"""),"185******18")</f>
        <v>185******18</v>
      </c>
      <c r="F29" s="34" t="str">
        <f>IFERROR(__xludf.DUMMYFUNCTION("""COMPUTED_VALUE"""),"INFANTIL 2")</f>
        <v>INFANTIL 2</v>
      </c>
      <c r="G29" s="65" t="str">
        <f>IFERROR(__xludf.DUMMYFUNCTION("""COMPUTED_VALUE"""),"CEMEI LIGIA ARAUJO DE OLIVEIRA")</f>
        <v>CEMEI LIGIA ARAUJO DE OLIVEIRA</v>
      </c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</row>
    <row r="30" ht="15.75" customHeight="1" spans="1:24">
      <c r="A30" s="62" t="str">
        <f>IFERROR(__xludf.DUMMYFUNCTION("""COMPUTED_VALUE"""),"11/03/2026 10:19:05")</f>
        <v>11/03/2026 10:19:05</v>
      </c>
      <c r="B30" s="63" t="str">
        <f>IFERROR(__xludf.DUMMYFUNCTION("""COMPUTED_VALUE"""),"3")</f>
        <v>3</v>
      </c>
      <c r="C30" s="34" t="str">
        <f>IFERROR(__xludf.DUMMYFUNCTION("""COMPUTED_VALUE"""),"A. G. D. S. S")</f>
        <v>A. G. D. S. S</v>
      </c>
      <c r="D30" s="64" t="str">
        <f>IFERROR(__xludf.DUMMYFUNCTION("""COMPUTED_VALUE"""),"30/12/2023")</f>
        <v>30/12/2023</v>
      </c>
      <c r="E30" s="34" t="str">
        <f>IFERROR(__xludf.DUMMYFUNCTION("""COMPUTED_VALUE"""),"001******00")</f>
        <v>001******00</v>
      </c>
      <c r="F30" s="34" t="str">
        <f>IFERROR(__xludf.DUMMYFUNCTION("""COMPUTED_VALUE"""),"INFANTIL 2")</f>
        <v>INFANTIL 2</v>
      </c>
      <c r="G30" s="65" t="str">
        <f>IFERROR(__xludf.DUMMYFUNCTION("""COMPUTED_VALUE"""),"CEMEI LIGIA ARAUJO DE OLIVEIRA")</f>
        <v>CEMEI LIGIA ARAUJO DE OLIVEIRA</v>
      </c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</row>
    <row r="31" ht="15.75" customHeight="1" spans="1:24">
      <c r="A31" s="62" t="str">
        <f>IFERROR(__xludf.DUMMYFUNCTION("""COMPUTED_VALUE"""),"20/04/2026 12:53:45")</f>
        <v>20/04/2026 12:53:45</v>
      </c>
      <c r="B31" s="63" t="str">
        <f>IFERROR(__xludf.DUMMYFUNCTION("""COMPUTED_VALUE"""),"4")</f>
        <v>4</v>
      </c>
      <c r="C31" s="34" t="str">
        <f>IFERROR(__xludf.DUMMYFUNCTION("""COMPUTED_VALUE"""),"I. M. D. D. S")</f>
        <v>I. M. D. D. S</v>
      </c>
      <c r="D31" s="85" t="str">
        <f>IFERROR(__xludf.DUMMYFUNCTION("""COMPUTED_VALUE"""),"02/05/2023")</f>
        <v>02/05/2023</v>
      </c>
      <c r="E31" s="34" t="str">
        <f>IFERROR(__xludf.DUMMYFUNCTION("""COMPUTED_VALUE"""),"166******37")</f>
        <v>166******37</v>
      </c>
      <c r="F31" s="34" t="str">
        <f>IFERROR(__xludf.DUMMYFUNCTION("""COMPUTED_VALUE"""),"INFANTIL 2")</f>
        <v>INFANTIL 2</v>
      </c>
      <c r="G31" s="65" t="str">
        <f>IFERROR(__xludf.DUMMYFUNCTION("""COMPUTED_VALUE"""),"CEMEI LIGIA ARAUJO DE OLIVEIRA")</f>
        <v>CEMEI LIGIA ARAUJO DE OLIVEIRA</v>
      </c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</row>
    <row r="32" ht="15.75" customHeight="1" spans="1:24">
      <c r="A32" s="62" t="str">
        <f>IFERROR(__xludf.DUMMYFUNCTION("""COMPUTED_VALUE"""),"08/05/2026 07:30:21")</f>
        <v>08/05/2026 07:30:21</v>
      </c>
      <c r="B32" s="63" t="str">
        <f>IFERROR(__xludf.DUMMYFUNCTION("""COMPUTED_VALUE"""),"5")</f>
        <v>5</v>
      </c>
      <c r="C32" s="34" t="str">
        <f>IFERROR(__xludf.DUMMYFUNCTION("""COMPUTED_VALUE"""),"H. G. M. D. S")</f>
        <v>H. G. M. D. S</v>
      </c>
      <c r="D32" s="85" t="str">
        <f>IFERROR(__xludf.DUMMYFUNCTION("""COMPUTED_VALUE"""),"20/05/2023")</f>
        <v>20/05/2023</v>
      </c>
      <c r="E32" s="34" t="str">
        <f>IFERROR(__xludf.DUMMYFUNCTION("""COMPUTED_VALUE"""),"185******29")</f>
        <v>185******29</v>
      </c>
      <c r="F32" s="34" t="str">
        <f>IFERROR(__xludf.DUMMYFUNCTION("""COMPUTED_VALUE"""),"INFANTIL 2")</f>
        <v>INFANTIL 2</v>
      </c>
      <c r="G32" s="65" t="str">
        <f>IFERROR(__xludf.DUMMYFUNCTION("""COMPUTED_VALUE"""),"CEMEI LIGIA ARAUJO DE OLIVEIRA")</f>
        <v>CEMEI LIGIA ARAUJO DE OLIVEIRA</v>
      </c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</row>
    <row r="33" ht="15.75" customHeight="1" spans="1:24">
      <c r="A33" s="62" t="str">
        <f>IFERROR(__xludf.DUMMYFUNCTION("""COMPUTED_VALUE"""),"03/02/2026 14:12:28")</f>
        <v>03/02/2026 14:12:28</v>
      </c>
      <c r="B33" s="63" t="str">
        <f>IFERROR(__xludf.DUMMYFUNCTION("""COMPUTED_VALUE"""),"1")</f>
        <v>1</v>
      </c>
      <c r="C33" s="34" t="str">
        <f>IFERROR(__xludf.DUMMYFUNCTION("""COMPUTED_VALUE"""),"A. F. D. S")</f>
        <v>A. F. D. S</v>
      </c>
      <c r="D33" s="64" t="str">
        <f>IFERROR(__xludf.DUMMYFUNCTION("""COMPUTED_VALUE"""),"22/11/2022")</f>
        <v>22/11/2022</v>
      </c>
      <c r="E33" s="34" t="str">
        <f>IFERROR(__xludf.DUMMYFUNCTION("""COMPUTED_VALUE"""),"183******05")</f>
        <v>183******05</v>
      </c>
      <c r="F33" s="34" t="str">
        <f>IFERROR(__xludf.DUMMYFUNCTION("""COMPUTED_VALUE"""),"INFANTIL 3")</f>
        <v>INFANTIL 3</v>
      </c>
      <c r="G33" s="65" t="str">
        <f>IFERROR(__xludf.DUMMYFUNCTION("""COMPUTED_VALUE"""),"CEMEI LIGIA ARAUJO DE OLIVEIRA")</f>
        <v>CEMEI LIGIA ARAUJO DE OLIVEIRA</v>
      </c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</row>
    <row r="34" ht="15.75" customHeight="1" spans="1:24">
      <c r="A34" s="62" t="str">
        <f>IFERROR(__xludf.DUMMYFUNCTION("""COMPUTED_VALUE"""),"03/02/2026 14:18:57")</f>
        <v>03/02/2026 14:18:57</v>
      </c>
      <c r="B34" s="63" t="str">
        <f>IFERROR(__xludf.DUMMYFUNCTION("""COMPUTED_VALUE"""),"2")</f>
        <v>2</v>
      </c>
      <c r="C34" s="34" t="str">
        <f>IFERROR(__xludf.DUMMYFUNCTION("""COMPUTED_VALUE"""),"A. F. D. S")</f>
        <v>A. F. D. S</v>
      </c>
      <c r="D34" s="64" t="str">
        <f>IFERROR(__xludf.DUMMYFUNCTION("""COMPUTED_VALUE"""),"22/11/2022")</f>
        <v>22/11/2022</v>
      </c>
      <c r="E34" s="34" t="str">
        <f>IFERROR(__xludf.DUMMYFUNCTION("""COMPUTED_VALUE"""),"183******11")</f>
        <v>183******11</v>
      </c>
      <c r="F34" s="34" t="str">
        <f>IFERROR(__xludf.DUMMYFUNCTION("""COMPUTED_VALUE"""),"INFANTIL 3")</f>
        <v>INFANTIL 3</v>
      </c>
      <c r="G34" s="65" t="str">
        <f>IFERROR(__xludf.DUMMYFUNCTION("""COMPUTED_VALUE"""),"CEMEI LIGIA ARAUJO DE OLIVEIRA")</f>
        <v>CEMEI LIGIA ARAUJO DE OLIVEIRA</v>
      </c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</row>
    <row r="35" ht="15.75" customHeight="1" spans="1:24">
      <c r="A35" s="62" t="str">
        <f>IFERROR(__xludf.DUMMYFUNCTION("""COMPUTED_VALUE"""),"23/02/2026 20:39:24")</f>
        <v>23/02/2026 20:39:24</v>
      </c>
      <c r="B35" s="63" t="str">
        <f>IFERROR(__xludf.DUMMYFUNCTION("""COMPUTED_VALUE"""),"3")</f>
        <v>3</v>
      </c>
      <c r="C35" s="34" t="str">
        <f>IFERROR(__xludf.DUMMYFUNCTION("""COMPUTED_VALUE"""),"A. E. P. D. S")</f>
        <v>A. E. P. D. S</v>
      </c>
      <c r="D35" s="64" t="str">
        <f>IFERROR(__xludf.DUMMYFUNCTION("""COMPUTED_VALUE"""),"31/08/2022")</f>
        <v>31/08/2022</v>
      </c>
      <c r="E35" s="34" t="str">
        <f>IFERROR(__xludf.DUMMYFUNCTION("""COMPUTED_VALUE"""),"182******05")</f>
        <v>182******05</v>
      </c>
      <c r="F35" s="34" t="str">
        <f>IFERROR(__xludf.DUMMYFUNCTION("""COMPUTED_VALUE"""),"INFANTIL 3")</f>
        <v>INFANTIL 3</v>
      </c>
      <c r="G35" s="65" t="str">
        <f>IFERROR(__xludf.DUMMYFUNCTION("""COMPUTED_VALUE"""),"CEMEI LIGIA ARAUJO DE OLIVEIRA")</f>
        <v>CEMEI LIGIA ARAUJO DE OLIVEIRA</v>
      </c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</row>
    <row r="36" ht="15.75" customHeight="1" spans="1:24">
      <c r="A36" s="34" t="str">
        <f>IFERROR(__xludf.DUMMYFUNCTION("""COMPUTED_VALUE"""),"24/02/2026 14:04:38")</f>
        <v>24/02/2026 14:04:38</v>
      </c>
      <c r="B36" s="63" t="str">
        <f>IFERROR(__xludf.DUMMYFUNCTION("""COMPUTED_VALUE"""),"1")</f>
        <v>1</v>
      </c>
      <c r="C36" s="34" t="str">
        <f>IFERROR(__xludf.DUMMYFUNCTION("""COMPUTED_VALUE"""),"J. M. F. D. S")</f>
        <v>J. M. F. D. S</v>
      </c>
      <c r="D36" s="34" t="str">
        <f>IFERROR(__xludf.DUMMYFUNCTION("""COMPUTED_VALUE"""),"01/11/2022")</f>
        <v>01/11/2022</v>
      </c>
      <c r="E36" s="34" t="str">
        <f>IFERROR(__xludf.DUMMYFUNCTION("""COMPUTED_VALUE"""),"185******30")</f>
        <v>185******30</v>
      </c>
      <c r="F36" s="34" t="str">
        <f>IFERROR(__xludf.DUMMYFUNCTION("""COMPUTED_VALUE"""),"INFANTIL 3")</f>
        <v>INFANTIL 3</v>
      </c>
      <c r="G36" s="65" t="str">
        <f>IFERROR(__xludf.DUMMYFUNCTION("""COMPUTED_VALUE"""),"CEMEI PROFESSORA MARLUCIA EVANGELISTA DE SOUZA")</f>
        <v>CEMEI PROFESSORA MARLUCIA EVANGELISTA DE SOUZA</v>
      </c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</row>
    <row r="37" ht="15.75" customHeight="1" spans="1:24">
      <c r="A37" s="34" t="str">
        <f>IFERROR(__xludf.DUMMYFUNCTION("""COMPUTED_VALUE"""),"26/03/2026 11:14:13")</f>
        <v>26/03/2026 11:14:13</v>
      </c>
      <c r="B37" s="63" t="str">
        <f>IFERROR(__xludf.DUMMYFUNCTION("""COMPUTED_VALUE"""),"2")</f>
        <v>2</v>
      </c>
      <c r="C37" s="34" t="str">
        <f>IFERROR(__xludf.DUMMYFUNCTION("""COMPUTED_VALUE"""),"E. G. M. D. N")</f>
        <v>E. G. M. D. N</v>
      </c>
      <c r="D37" s="34" t="str">
        <f>IFERROR(__xludf.DUMMYFUNCTION("""COMPUTED_VALUE"""),"19/11/2022")</f>
        <v>19/11/2022</v>
      </c>
      <c r="E37" s="34" t="str">
        <f>IFERROR(__xludf.DUMMYFUNCTION("""COMPUTED_VALUE"""),"183******10")</f>
        <v>183******10</v>
      </c>
      <c r="F37" s="34" t="str">
        <f>IFERROR(__xludf.DUMMYFUNCTION("""COMPUTED_VALUE"""),"INFANTIL 3")</f>
        <v>INFANTIL 3</v>
      </c>
      <c r="G37" s="65" t="str">
        <f>IFERROR(__xludf.DUMMYFUNCTION("""COMPUTED_VALUE"""),"CEMEI PROFESSORA MARLUCIA EVANGELISTA DE SOUZA")</f>
        <v>CEMEI PROFESSORA MARLUCIA EVANGELISTA DE SOUZA</v>
      </c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</row>
    <row r="38" ht="15.75" customHeight="1" spans="1:24">
      <c r="A38" s="34" t="str">
        <f>IFERROR(__xludf.DUMMYFUNCTION("""COMPUTED_VALUE"""),"27/03/2026 08:54:52")</f>
        <v>27/03/2026 08:54:52</v>
      </c>
      <c r="B38" s="63" t="str">
        <f>IFERROR(__xludf.DUMMYFUNCTION("""COMPUTED_VALUE"""),"3")</f>
        <v>3</v>
      </c>
      <c r="C38" s="34" t="str">
        <f>IFERROR(__xludf.DUMMYFUNCTION("""COMPUTED_VALUE"""),"M. H. D. S. L")</f>
        <v>M. H. D. S. L</v>
      </c>
      <c r="D38" s="34" t="str">
        <f>IFERROR(__xludf.DUMMYFUNCTION("""COMPUTED_VALUE"""),"11/05/2022")</f>
        <v>11/05/2022</v>
      </c>
      <c r="E38" s="34" t="str">
        <f>IFERROR(__xludf.DUMMYFUNCTION("""COMPUTED_VALUE"""),"183******63")</f>
        <v>183******63</v>
      </c>
      <c r="F38" s="34" t="str">
        <f>IFERROR(__xludf.DUMMYFUNCTION("""COMPUTED_VALUE"""),"INFANTIL 3")</f>
        <v>INFANTIL 3</v>
      </c>
      <c r="G38" s="65" t="str">
        <f>IFERROR(__xludf.DUMMYFUNCTION("""COMPUTED_VALUE"""),"CEMEI PROFESSORA MARLUCIA EVANGELISTA DE SOUZA")</f>
        <v>CEMEI PROFESSORA MARLUCIA EVANGELISTA DE SOUZA</v>
      </c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</row>
    <row r="39" ht="15.75" customHeight="1" spans="1:24">
      <c r="A39" s="34" t="str">
        <f>IFERROR(__xludf.DUMMYFUNCTION("""COMPUTED_VALUE"""),"31/03/2026 08:33:16")</f>
        <v>31/03/2026 08:33:16</v>
      </c>
      <c r="B39" s="63" t="str">
        <f>IFERROR(__xludf.DUMMYFUNCTION("""COMPUTED_VALUE"""),"1")</f>
        <v>1</v>
      </c>
      <c r="C39" s="34" t="str">
        <f>IFERROR(__xludf.DUMMYFUNCTION("""COMPUTED_VALUE"""),"A. G. B. D. N")</f>
        <v>A. G. B. D. N</v>
      </c>
      <c r="D39" s="34" t="str">
        <f>IFERROR(__xludf.DUMMYFUNCTION("""COMPUTED_VALUE"""),"03/02/2023")</f>
        <v>03/02/2023</v>
      </c>
      <c r="E39" s="34" t="str">
        <f>IFERROR(__xludf.DUMMYFUNCTION("""COMPUTED_VALUE"""),"184******02")</f>
        <v>184******02</v>
      </c>
      <c r="F39" s="34" t="str">
        <f>IFERROR(__xludf.DUMMYFUNCTION("""COMPUTED_VALUE"""),"INFANTIL 3")</f>
        <v>INFANTIL 3</v>
      </c>
      <c r="G39" s="65" t="str">
        <f>IFERROR(__xludf.DUMMYFUNCTION("""COMPUTED_VALUE"""),"CEMEI PROFESSORA MARLUCIA EVANGELISTA DE SOUZA")</f>
        <v>CEMEI PROFESSORA MARLUCIA EVANGELISTA DE SOUZA</v>
      </c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</row>
    <row r="40" ht="15.75" customHeight="1" spans="1:24">
      <c r="A40" s="34" t="str">
        <f>IFERROR(__xludf.DUMMYFUNCTION("""COMPUTED_VALUE"""),"17/03/2026 11:53:45")</f>
        <v>17/03/2026 11:53:45</v>
      </c>
      <c r="B40" s="63" t="str">
        <f>IFERROR(__xludf.DUMMYFUNCTION("""COMPUTED_VALUE"""),"1")</f>
        <v>1</v>
      </c>
      <c r="C40" s="34" t="str">
        <f>IFERROR(__xludf.DUMMYFUNCTION("""COMPUTED_VALUE"""),"S. B. D. S")</f>
        <v>S. B. D. S</v>
      </c>
      <c r="D40" s="34" t="str">
        <f>IFERROR(__xludf.DUMMYFUNCTION("""COMPUTED_VALUE"""),"09/04/2025")</f>
        <v>09/04/2025</v>
      </c>
      <c r="E40" s="34" t="str">
        <f>IFERROR(__xludf.DUMMYFUNCTION("""COMPUTED_VALUE"""),"005******50")</f>
        <v>005******50</v>
      </c>
      <c r="F40" s="34" t="str">
        <f>IFERROR(__xludf.DUMMYFUNCTION("""COMPUTED_VALUE"""),"INFANTIL 1")</f>
        <v>INFANTIL 1</v>
      </c>
      <c r="G40" s="65" t="str">
        <f>IFERROR(__xludf.DUMMYFUNCTION("""COMPUTED_VALUE"""),"CEMEI PROFESSORA RAKELLY NOGUEIRA DO NASCIMENTO")</f>
        <v>CEMEI PROFESSORA RAKELLY NOGUEIRA DO NASCIMENTO</v>
      </c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</row>
    <row r="41" ht="15.75" customHeight="1" spans="1:24">
      <c r="A41" s="34" t="str">
        <f>IFERROR(__xludf.DUMMYFUNCTION("""COMPUTED_VALUE"""),"22/05/2026 09:50:12")</f>
        <v>22/05/2026 09:50:12</v>
      </c>
      <c r="B41" s="63" t="str">
        <f>IFERROR(__xludf.DUMMYFUNCTION("""COMPUTED_VALUE"""),"2")</f>
        <v>2</v>
      </c>
      <c r="C41" s="34" t="str">
        <f>IFERROR(__xludf.DUMMYFUNCTION("""COMPUTED_VALUE"""),"T. V. G. d. S")</f>
        <v>T. V. G. d. S</v>
      </c>
      <c r="D41" s="34" t="str">
        <f>IFERROR(__xludf.DUMMYFUNCTION("""COMPUTED_VALUE"""),"28/06/2025")</f>
        <v>28/06/2025</v>
      </c>
      <c r="E41" s="34" t="str">
        <f>IFERROR(__xludf.DUMMYFUNCTION("""COMPUTED_VALUE"""),"006******61")</f>
        <v>006******61</v>
      </c>
      <c r="F41" s="34" t="str">
        <f>IFERROR(__xludf.DUMMYFUNCTION("""COMPUTED_VALUE"""),"INFANTIL 1")</f>
        <v>INFANTIL 1</v>
      </c>
      <c r="G41" s="65" t="str">
        <f>IFERROR(__xludf.DUMMYFUNCTION("""COMPUTED_VALUE"""),"CEMEI PROFESSORA RAKELLY NOGUEIRA DO NASCIMENTO")</f>
        <v>CEMEI PROFESSORA RAKELLY NOGUEIRA DO NASCIMENTO</v>
      </c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</row>
    <row r="42" ht="15.75" customHeight="1" spans="1:24">
      <c r="A42" s="34" t="str">
        <f>IFERROR(__xludf.DUMMYFUNCTION("""COMPUTED_VALUE"""),"24/03/2026 08:53:08")</f>
        <v>24/03/2026 08:53:08</v>
      </c>
      <c r="B42" s="63" t="str">
        <f>IFERROR(__xludf.DUMMYFUNCTION("""COMPUTED_VALUE"""),"1")</f>
        <v>1</v>
      </c>
      <c r="C42" s="34" t="str">
        <f>IFERROR(__xludf.DUMMYFUNCTION("""COMPUTED_VALUE"""),"A. R. S. V. D. S")</f>
        <v>A. R. S. V. D. S</v>
      </c>
      <c r="D42" s="34" t="str">
        <f>IFERROR(__xludf.DUMMYFUNCTION("""COMPUTED_VALUE"""),"04/09/2023")</f>
        <v>04/09/2023</v>
      </c>
      <c r="E42" s="34" t="str">
        <f>IFERROR(__xludf.DUMMYFUNCTION("""COMPUTED_VALUE"""),"003******33")</f>
        <v>003******33</v>
      </c>
      <c r="F42" s="34" t="str">
        <f>IFERROR(__xludf.DUMMYFUNCTION("""COMPUTED_VALUE"""),"INFANTIL 2")</f>
        <v>INFANTIL 2</v>
      </c>
      <c r="G42" s="34" t="str">
        <f>IFERROR(__xludf.DUMMYFUNCTION("""COMPUTED_VALUE"""),"CEMEI PROFESSORA RAKELLY NOGUEIRA DO NASCIMENTO")</f>
        <v>CEMEI PROFESSORA RAKELLY NOGUEIRA DO NASCIMENTO</v>
      </c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</row>
    <row r="43" ht="15.75" customHeight="1" spans="1:24">
      <c r="A43" s="34" t="str">
        <f>IFERROR(__xludf.DUMMYFUNCTION("""COMPUTED_VALUE"""),"13/05/2026 07:38:50")</f>
        <v>13/05/2026 07:38:50</v>
      </c>
      <c r="B43" s="63" t="str">
        <f>IFERROR(__xludf.DUMMYFUNCTION("""COMPUTED_VALUE"""),"2")</f>
        <v>2</v>
      </c>
      <c r="C43" s="34" t="str">
        <f>IFERROR(__xludf.DUMMYFUNCTION("""COMPUTED_VALUE"""),"A. G. R. D. O")</f>
        <v>A. G. R. D. O</v>
      </c>
      <c r="D43" s="34" t="str">
        <f>IFERROR(__xludf.DUMMYFUNCTION("""COMPUTED_VALUE"""),"07/07/2023")</f>
        <v>07/07/2023</v>
      </c>
      <c r="E43" s="34" t="str">
        <f>IFERROR(__xludf.DUMMYFUNCTION("""COMPUTED_VALUE"""),"185******25")</f>
        <v>185******25</v>
      </c>
      <c r="F43" s="34" t="str">
        <f>IFERROR(__xludf.DUMMYFUNCTION("""COMPUTED_VALUE"""),"INFANTIL 2")</f>
        <v>INFANTIL 2</v>
      </c>
      <c r="G43" s="34" t="str">
        <f>IFERROR(__xludf.DUMMYFUNCTION("""COMPUTED_VALUE"""),"CEMEI PROFESSORA RAKELLY NOGUEIRA DO NASCIMENTO")</f>
        <v>CEMEI PROFESSORA RAKELLY NOGUEIRA DO NASCIMENTO</v>
      </c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</row>
    <row r="44" ht="15.75" customHeight="1" spans="1:24">
      <c r="A44" s="34" t="str">
        <f>IFERROR(__xludf.DUMMYFUNCTION("""COMPUTED_VALUE"""),"26/03/2026 13:48:28")</f>
        <v>26/03/2026 13:48:28</v>
      </c>
      <c r="B44" s="63" t="str">
        <f>IFERROR(__xludf.DUMMYFUNCTION("""COMPUTED_VALUE"""),"1")</f>
        <v>1</v>
      </c>
      <c r="C44" s="34" t="str">
        <f>IFERROR(__xludf.DUMMYFUNCTION("""COMPUTED_VALUE"""),"R. S. J")</f>
        <v>R. S. J</v>
      </c>
      <c r="D44" s="34" t="str">
        <f>IFERROR(__xludf.DUMMYFUNCTION("""COMPUTED_VALUE"""),"07/02/2025")</f>
        <v>07/02/2025</v>
      </c>
      <c r="E44" s="34" t="str">
        <f>IFERROR(__xludf.DUMMYFUNCTION("""COMPUTED_VALUE"""),"005******01")</f>
        <v>005******01</v>
      </c>
      <c r="F44" s="34" t="str">
        <f>IFERROR(__xludf.DUMMYFUNCTION("""COMPUTED_VALUE"""),"INFANTIL 1")</f>
        <v>INFANTIL 1</v>
      </c>
      <c r="G44" s="34" t="str">
        <f>IFERROR(__xludf.DUMMYFUNCTION("""COMPUTED_VALUE"""),"CRECHE MERCIA DE ALBUQUERQUE")</f>
        <v>CRECHE MERCIA DE ALBUQUERQUE</v>
      </c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</row>
    <row r="45" ht="15.75" customHeight="1" spans="1:24">
      <c r="A45" s="34" t="str">
        <f>IFERROR(__xludf.DUMMYFUNCTION("""COMPUTED_VALUE"""),"08/04/2026 10:22:51")</f>
        <v>08/04/2026 10:22:51</v>
      </c>
      <c r="B45" s="63" t="str">
        <f>IFERROR(__xludf.DUMMYFUNCTION("""COMPUTED_VALUE"""),"2")</f>
        <v>2</v>
      </c>
      <c r="C45" s="34" t="str">
        <f>IFERROR(__xludf.DUMMYFUNCTION("""COMPUTED_VALUE"""),"A. A. R. D. S")</f>
        <v>A. A. R. D. S</v>
      </c>
      <c r="D45" s="34" t="str">
        <f>IFERROR(__xludf.DUMMYFUNCTION("""COMPUTED_VALUE"""),"29/07/2025")</f>
        <v>29/07/2025</v>
      </c>
      <c r="E45" s="34" t="str">
        <f>IFERROR(__xludf.DUMMYFUNCTION("""COMPUTED_VALUE"""),"006******82")</f>
        <v>006******82</v>
      </c>
      <c r="F45" s="34" t="str">
        <f>IFERROR(__xludf.DUMMYFUNCTION("""COMPUTED_VALUE"""),"INFANTIL 1")</f>
        <v>INFANTIL 1</v>
      </c>
      <c r="G45" s="34" t="str">
        <f>IFERROR(__xludf.DUMMYFUNCTION("""COMPUTED_VALUE"""),"CRECHE MERCIA DE ALBUQUERQUE")</f>
        <v>CRECHE MERCIA DE ALBUQUERQUE</v>
      </c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</row>
    <row r="46" ht="15.75" customHeight="1" spans="1:24">
      <c r="A46" s="34" t="str">
        <f>IFERROR(__xludf.DUMMYFUNCTION("""COMPUTED_VALUE"""),"11/04/2026 18:35:35")</f>
        <v>11/04/2026 18:35:35</v>
      </c>
      <c r="B46" s="63" t="str">
        <f>IFERROR(__xludf.DUMMYFUNCTION("""COMPUTED_VALUE"""),"3")</f>
        <v>3</v>
      </c>
      <c r="C46" s="34" t="str">
        <f>IFERROR(__xludf.DUMMYFUNCTION("""COMPUTED_VALUE"""),"E. G. O. D. S")</f>
        <v>E. G. O. D. S</v>
      </c>
      <c r="D46" s="34" t="str">
        <f>IFERROR(__xludf.DUMMYFUNCTION("""COMPUTED_VALUE"""),"24/08/2025")</f>
        <v>24/08/2025</v>
      </c>
      <c r="E46" s="34" t="str">
        <f>IFERROR(__xludf.DUMMYFUNCTION("""COMPUTED_VALUE"""),"713******82")</f>
        <v>713******82</v>
      </c>
      <c r="F46" s="34" t="str">
        <f>IFERROR(__xludf.DUMMYFUNCTION("""COMPUTED_VALUE"""),"INFANTIL 1")</f>
        <v>INFANTIL 1</v>
      </c>
      <c r="G46" s="34" t="str">
        <f>IFERROR(__xludf.DUMMYFUNCTION("""COMPUTED_VALUE"""),"CRECHE MERCIA DE ALBUQUERQUE")</f>
        <v>CRECHE MERCIA DE ALBUQUERQUE</v>
      </c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</row>
    <row r="47" ht="15.75" customHeight="1" spans="1:24">
      <c r="A47" s="34" t="str">
        <f>IFERROR(__xludf.DUMMYFUNCTION("""COMPUTED_VALUE"""),"29/04/2026 15:30:17")</f>
        <v>29/04/2026 15:30:17</v>
      </c>
      <c r="B47" s="63" t="str">
        <f>IFERROR(__xludf.DUMMYFUNCTION("""COMPUTED_VALUE"""),"4")</f>
        <v>4</v>
      </c>
      <c r="C47" s="34" t="str">
        <f>IFERROR(__xludf.DUMMYFUNCTION("""COMPUTED_VALUE"""),"A. B. V. D. A")</f>
        <v>A. B. V. D. A</v>
      </c>
      <c r="D47" s="34" t="str">
        <f>IFERROR(__xludf.DUMMYFUNCTION("""COMPUTED_VALUE"""),"04/10/2024")</f>
        <v>04/10/2024</v>
      </c>
      <c r="E47" s="34" t="str">
        <f>IFERROR(__xludf.DUMMYFUNCTION("""COMPUTED_VALUE"""),"004******95")</f>
        <v>004******95</v>
      </c>
      <c r="F47" s="34" t="str">
        <f>IFERROR(__xludf.DUMMYFUNCTION("""COMPUTED_VALUE"""),"INFANTIL 1")</f>
        <v>INFANTIL 1</v>
      </c>
      <c r="G47" s="34" t="str">
        <f>IFERROR(__xludf.DUMMYFUNCTION("""COMPUTED_VALUE"""),"CRECHE MERCIA DE ALBUQUERQUE")</f>
        <v>CRECHE MERCIA DE ALBUQUERQUE</v>
      </c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</row>
    <row r="48" ht="15.75" customHeight="1" spans="1:24">
      <c r="A48" s="34" t="str">
        <f>IFERROR(__xludf.DUMMYFUNCTION("""COMPUTED_VALUE"""),"04/05/2026 08:16:27")</f>
        <v>04/05/2026 08:16:27</v>
      </c>
      <c r="B48" s="63" t="str">
        <f>IFERROR(__xludf.DUMMYFUNCTION("""COMPUTED_VALUE"""),"5")</f>
        <v>5</v>
      </c>
      <c r="C48" s="34" t="str">
        <f>IFERROR(__xludf.DUMMYFUNCTION("""COMPUTED_VALUE"""),"K. C. T. L. B")</f>
        <v>K. C. T. L. B</v>
      </c>
      <c r="D48" s="34" t="str">
        <f>IFERROR(__xludf.DUMMYFUNCTION("""COMPUTED_VALUE"""),"24/08/2024")</f>
        <v>24/08/2024</v>
      </c>
      <c r="E48" s="34" t="str">
        <f>IFERROR(__xludf.DUMMYFUNCTION("""COMPUTED_VALUE"""),"003******44")</f>
        <v>003******44</v>
      </c>
      <c r="F48" s="34" t="str">
        <f>IFERROR(__xludf.DUMMYFUNCTION("""COMPUTED_VALUE"""),"INFANTIL 1")</f>
        <v>INFANTIL 1</v>
      </c>
      <c r="G48" s="34" t="str">
        <f>IFERROR(__xludf.DUMMYFUNCTION("""COMPUTED_VALUE"""),"CRECHE MERCIA DE ALBUQUERQUE")</f>
        <v>CRECHE MERCIA DE ALBUQUERQUE</v>
      </c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</row>
    <row r="49" ht="15.75" customHeight="1" spans="1:24">
      <c r="A49" s="34" t="str">
        <f>IFERROR(__xludf.DUMMYFUNCTION("""COMPUTED_VALUE"""),"21/05/2026 14:53:13")</f>
        <v>21/05/2026 14:53:13</v>
      </c>
      <c r="B49" s="63" t="str">
        <f>IFERROR(__xludf.DUMMYFUNCTION("""COMPUTED_VALUE"""),"6")</f>
        <v>6</v>
      </c>
      <c r="C49" s="34" t="str">
        <f>IFERROR(__xludf.DUMMYFUNCTION("""COMPUTED_VALUE"""),"E. P. d. M. F")</f>
        <v>E. P. d. M. F</v>
      </c>
      <c r="D49" s="34" t="str">
        <f>IFERROR(__xludf.DUMMYFUNCTION("""COMPUTED_VALUE"""),"30/12/2025")</f>
        <v>30/12/2025</v>
      </c>
      <c r="E49" s="34" t="str">
        <f>IFERROR(__xludf.DUMMYFUNCTION("""COMPUTED_VALUE"""),"034******72")</f>
        <v>034******72</v>
      </c>
      <c r="F49" s="34" t="str">
        <f>IFERROR(__xludf.DUMMYFUNCTION("""COMPUTED_VALUE"""),"INFANTIL 1")</f>
        <v>INFANTIL 1</v>
      </c>
      <c r="G49" s="34" t="str">
        <f>IFERROR(__xludf.DUMMYFUNCTION("""COMPUTED_VALUE"""),"CRECHE MERCIA DE ALBUQUERQUE")</f>
        <v>CRECHE MERCIA DE ALBUQUERQUE</v>
      </c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</row>
    <row r="50" ht="15.75" customHeight="1" spans="1:24">
      <c r="A50" s="34" t="str">
        <f>IFERROR(__xludf.DUMMYFUNCTION("""COMPUTED_VALUE"""),"30/01/2026 10:49:18")</f>
        <v>30/01/2026 10:49:18</v>
      </c>
      <c r="B50" s="63" t="str">
        <f>IFERROR(__xludf.DUMMYFUNCTION("""COMPUTED_VALUE"""),"1")</f>
        <v>1</v>
      </c>
      <c r="C50" s="34" t="str">
        <f>IFERROR(__xludf.DUMMYFUNCTION("""COMPUTED_VALUE"""),"E. C")</f>
        <v>E. C</v>
      </c>
      <c r="D50" s="34" t="str">
        <f>IFERROR(__xludf.DUMMYFUNCTION("""COMPUTED_VALUE"""),"25/09/2023")</f>
        <v>25/09/2023</v>
      </c>
      <c r="E50" s="34" t="str">
        <f>IFERROR(__xludf.DUMMYFUNCTION("""COMPUTED_VALUE"""),"002******62")</f>
        <v>002******62</v>
      </c>
      <c r="F50" s="34" t="str">
        <f>IFERROR(__xludf.DUMMYFUNCTION("""COMPUTED_VALUE"""),"INFANTIL 2")</f>
        <v>INFANTIL 2</v>
      </c>
      <c r="G50" s="34" t="str">
        <f>IFERROR(__xludf.DUMMYFUNCTION("""COMPUTED_VALUE"""),"CRECHE MERCIA DE ALBUQUERQUE")</f>
        <v>CRECHE MERCIA DE ALBUQUERQUE</v>
      </c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</row>
    <row r="51" ht="15.75" customHeight="1" spans="1:24">
      <c r="A51" s="34" t="str">
        <f>IFERROR(__xludf.DUMMYFUNCTION("""COMPUTED_VALUE"""),"02/03/2026 15:50:23")</f>
        <v>02/03/2026 15:50:23</v>
      </c>
      <c r="B51" s="63" t="str">
        <f>IFERROR(__xludf.DUMMYFUNCTION("""COMPUTED_VALUE"""),"2")</f>
        <v>2</v>
      </c>
      <c r="C51" s="34" t="str">
        <f>IFERROR(__xludf.DUMMYFUNCTION("""COMPUTED_VALUE"""),"J. H. D. S. F")</f>
        <v>J. H. D. S. F</v>
      </c>
      <c r="D51" s="34" t="str">
        <f>IFERROR(__xludf.DUMMYFUNCTION("""COMPUTED_VALUE"""),"25/07/2023")</f>
        <v>25/07/2023</v>
      </c>
      <c r="E51" s="34" t="str">
        <f>IFERROR(__xludf.DUMMYFUNCTION("""COMPUTED_VALUE"""),"186******29")</f>
        <v>186******29</v>
      </c>
      <c r="F51" s="34" t="str">
        <f>IFERROR(__xludf.DUMMYFUNCTION("""COMPUTED_VALUE"""),"INFANTIL 2")</f>
        <v>INFANTIL 2</v>
      </c>
      <c r="G51" s="34" t="str">
        <f>IFERROR(__xludf.DUMMYFUNCTION("""COMPUTED_VALUE"""),"CRECHE MERCIA DE ALBUQUERQUE")</f>
        <v>CRECHE MERCIA DE ALBUQUERQUE</v>
      </c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</row>
    <row r="52" ht="15.75" customHeight="1" spans="1:24">
      <c r="A52" s="34" t="str">
        <f>IFERROR(__xludf.DUMMYFUNCTION("""COMPUTED_VALUE"""),"11/03/2026 07:47:14")</f>
        <v>11/03/2026 07:47:14</v>
      </c>
      <c r="B52" s="63" t="str">
        <f>IFERROR(__xludf.DUMMYFUNCTION("""COMPUTED_VALUE"""),"3")</f>
        <v>3</v>
      </c>
      <c r="C52" s="34" t="str">
        <f>IFERROR(__xludf.DUMMYFUNCTION("""COMPUTED_VALUE"""),"T. D. B. D. S")</f>
        <v>T. D. B. D. S</v>
      </c>
      <c r="D52" s="34" t="str">
        <f>IFERROR(__xludf.DUMMYFUNCTION("""COMPUTED_VALUE"""),"22/09/2023")</f>
        <v>22/09/2023</v>
      </c>
      <c r="E52" s="34" t="str">
        <f>IFERROR(__xludf.DUMMYFUNCTION("""COMPUTED_VALUE"""),"000******40")</f>
        <v>000******40</v>
      </c>
      <c r="F52" s="34" t="str">
        <f>IFERROR(__xludf.DUMMYFUNCTION("""COMPUTED_VALUE"""),"INFANTIL 2")</f>
        <v>INFANTIL 2</v>
      </c>
      <c r="G52" s="34" t="str">
        <f>IFERROR(__xludf.DUMMYFUNCTION("""COMPUTED_VALUE"""),"CRECHE MERCIA DE ALBUQUERQUE")</f>
        <v>CRECHE MERCIA DE ALBUQUERQUE</v>
      </c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</row>
    <row r="53" ht="15.75" customHeight="1" spans="1:24">
      <c r="A53" s="34" t="str">
        <f>IFERROR(__xludf.DUMMYFUNCTION("""COMPUTED_VALUE"""),"25/03/2026 13:04:37")</f>
        <v>25/03/2026 13:04:37</v>
      </c>
      <c r="B53" s="63" t="str">
        <f>IFERROR(__xludf.DUMMYFUNCTION("""COMPUTED_VALUE"""),"4")</f>
        <v>4</v>
      </c>
      <c r="C53" s="34" t="str">
        <f>IFERROR(__xludf.DUMMYFUNCTION("""COMPUTED_VALUE"""),"B. L. S. D. S")</f>
        <v>B. L. S. D. S</v>
      </c>
      <c r="D53" s="34" t="str">
        <f>IFERROR(__xludf.DUMMYFUNCTION("""COMPUTED_VALUE"""),"14/10/2023")</f>
        <v>14/10/2023</v>
      </c>
      <c r="E53" s="34" t="str">
        <f>IFERROR(__xludf.DUMMYFUNCTION("""COMPUTED_VALUE"""),"000******08")</f>
        <v>000******08</v>
      </c>
      <c r="F53" s="34" t="str">
        <f>IFERROR(__xludf.DUMMYFUNCTION("""COMPUTED_VALUE"""),"INFANTIL 2")</f>
        <v>INFANTIL 2</v>
      </c>
      <c r="G53" s="34" t="str">
        <f>IFERROR(__xludf.DUMMYFUNCTION("""COMPUTED_VALUE"""),"CRECHE MERCIA DE ALBUQUERQUE")</f>
        <v>CRECHE MERCIA DE ALBUQUERQUE</v>
      </c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</row>
    <row r="54" ht="15.75" customHeight="1" spans="1:24">
      <c r="A54" s="34"/>
      <c r="B54" s="63"/>
      <c r="C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</row>
    <row r="55" ht="15.75" customHeight="1" spans="1:24">
      <c r="A55" s="34"/>
      <c r="B55" s="63"/>
      <c r="C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</row>
    <row r="56" ht="15.75" customHeight="1" spans="1:24">
      <c r="A56" s="34"/>
      <c r="B56" s="63"/>
      <c r="C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</row>
    <row r="57" ht="15.75" customHeight="1" spans="1:24">
      <c r="A57" s="34"/>
      <c r="B57" s="63"/>
      <c r="C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</row>
    <row r="58" ht="15.75" customHeight="1" spans="1:24">
      <c r="A58" s="34"/>
      <c r="B58" s="63"/>
      <c r="C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</row>
  </sheetData>
  <mergeCells count="17">
    <mergeCell ref="A2:P2"/>
    <mergeCell ref="D4:P4"/>
    <mergeCell ref="D5:G5"/>
    <mergeCell ref="H5:I5"/>
    <mergeCell ref="J5:O5"/>
    <mergeCell ref="H6:I6"/>
    <mergeCell ref="J6:K6"/>
    <mergeCell ref="L6:M6"/>
    <mergeCell ref="N6:O6"/>
    <mergeCell ref="C4:C7"/>
    <mergeCell ref="P5:P6"/>
    <mergeCell ref="A4:B7"/>
    <mergeCell ref="A8:B10"/>
    <mergeCell ref="A11:B13"/>
    <mergeCell ref="A14:B16"/>
    <mergeCell ref="A17:B19"/>
    <mergeCell ref="A20:B22"/>
  </mergeCells>
  <conditionalFormatting sqref="D8:M18;D20:M21">
    <cfRule type="containsBlanks" dxfId="18" priority="1">
      <formula>LEN(TRIM(D8))=0</formula>
    </cfRule>
  </conditionalFormatting>
  <printOptions horizontalCentered="1"/>
  <pageMargins left="0.7" right="0.7" top="0.75" bottom="0.75" header="0" footer="0"/>
  <pageSetup paperSize="9" fitToHeight="0" pageOrder="overThenDown" orientation="landscape" cellComments="atEnd"/>
  <headerFooter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Spreadsheets</Application>
  <HeadingPairs>
    <vt:vector size="2" baseType="variant">
      <vt:variant>
        <vt:lpstr>工作表</vt:lpstr>
      </vt:variant>
      <vt:variant>
        <vt:i4>14</vt:i4>
      </vt:variant>
    </vt:vector>
  </HeadingPairs>
  <TitlesOfParts>
    <vt:vector size="14" baseType="lpstr">
      <vt:lpstr>CandidatosFilaDeEspera</vt:lpstr>
      <vt:lpstr>dados_01</vt:lpstr>
      <vt:lpstr>dados_02</vt:lpstr>
      <vt:lpstr>regional_01</vt:lpstr>
      <vt:lpstr>regional_02</vt:lpstr>
      <vt:lpstr>regional_03</vt:lpstr>
      <vt:lpstr>regional_04</vt:lpstr>
      <vt:lpstr>regional_05</vt:lpstr>
      <vt:lpstr>regional_06</vt:lpstr>
      <vt:lpstr>regional_07</vt:lpstr>
      <vt:lpstr>lista_id_2026</vt:lpstr>
      <vt:lpstr>Página2</vt:lpstr>
      <vt:lpstr>lista_id</vt:lpstr>
      <vt:lpstr>link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Transparência Jaboatão</cp:lastModifiedBy>
  <dcterms:created xsi:type="dcterms:W3CDTF">2026-06-19T13:34:56Z</dcterms:created>
  <dcterms:modified xsi:type="dcterms:W3CDTF">2026-06-19T13:36:38Z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84D75B3FCF3F4C3196A2FB9D80186B21_12</vt:lpwstr>
  </property>
  <property fmtid="{D5CDD505-2E9C-101B-9397-08002B2CF9AE}" pid="3" name="KSOProductBuildVer">
    <vt:lpwstr>2070-12.1.0.26880</vt:lpwstr>
  </property>
  <property fmtid="{D5CDD505-2E9C-101B-9397-08002B2CF9AE}" pid="4" name="CalculationRule">
    <vt:i4>0</vt:i4>
  </property>
</Properties>
</file>